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ayer\Desktop\Images for Website\NAJ-Docs\"/>
    </mc:Choice>
  </mc:AlternateContent>
  <bookViews>
    <workbookView xWindow="0" yWindow="108" windowWidth="22980" windowHeight="10872"/>
  </bookViews>
  <sheets>
    <sheet name="Order 30 Components" sheetId="8" r:id="rId1"/>
    <sheet name="Pool Percentages" sheetId="4" r:id="rId2"/>
    <sheet name="CY &amp; Whey Protein" sheetId="9" r:id="rId3"/>
    <sheet name="US Whey Production" sheetId="13" r:id="rId4"/>
    <sheet name="CDFA Powders" sheetId="14" r:id="rId5"/>
    <sheet name="US Milk Powders Production" sheetId="10" r:id="rId6"/>
    <sheet name="SMP Yield" sheetId="12" r:id="rId7"/>
    <sheet name="Fortification" sheetId="3" r:id="rId8"/>
    <sheet name="PPD Estimations 09-14" sheetId="5" r:id="rId9"/>
    <sheet name="TCs &amp; Allowances" sheetId="6" r:id="rId10"/>
    <sheet name="Class I North &amp; South" sheetId="7" r:id="rId11"/>
    <sheet name="US &amp; CA Exports" sheetId="15" r:id="rId12"/>
    <sheet name="Pool Lbs &amp; Component Lbs" sheetId="1" r:id="rId13"/>
  </sheets>
  <definedNames>
    <definedName name="_xlnm.Print_Titles" localSheetId="7">Fortification!$A:$B,Fortification!$1:$5</definedName>
    <definedName name="_xlnm.Print_Titles" localSheetId="1">'Pool Percentages'!$1:$6</definedName>
    <definedName name="_xlnm.Print_Titles" localSheetId="8">'PPD Estimations 09-14'!$A:$B,'PPD Estimations 09-14'!$1:$5</definedName>
    <definedName name="_xlnm.Print_Titles" localSheetId="9">'TCs &amp; Allowances'!$1:$5</definedName>
  </definedNames>
  <calcPr calcId="152511"/>
</workbook>
</file>

<file path=xl/calcChain.xml><?xml version="1.0" encoding="utf-8"?>
<calcChain xmlns="http://schemas.openxmlformats.org/spreadsheetml/2006/main">
  <c r="AV78" i="5" l="1"/>
  <c r="AQ78" i="5"/>
  <c r="B6" i="15" l="1"/>
  <c r="AB78" i="5" l="1"/>
  <c r="AC78" i="5"/>
  <c r="AD78" i="5"/>
  <c r="AA78" i="5"/>
  <c r="B28" i="12" l="1"/>
  <c r="G34" i="14" l="1"/>
  <c r="F34" i="14"/>
  <c r="E34" i="14"/>
  <c r="D34" i="14"/>
  <c r="C34" i="14"/>
  <c r="B34" i="14"/>
  <c r="H14" i="13" l="1"/>
  <c r="F14" i="13"/>
  <c r="D14" i="13"/>
  <c r="B14" i="13"/>
  <c r="I13" i="13" l="1"/>
  <c r="G13" i="13"/>
  <c r="E13" i="13"/>
  <c r="C13" i="13"/>
  <c r="I12" i="13"/>
  <c r="G12" i="13"/>
  <c r="E12" i="13"/>
  <c r="C12" i="13"/>
  <c r="I11" i="13"/>
  <c r="G11" i="13"/>
  <c r="E11" i="13"/>
  <c r="C11" i="13"/>
  <c r="I10" i="13"/>
  <c r="G10" i="13"/>
  <c r="E10" i="13"/>
  <c r="C10" i="13"/>
  <c r="I9" i="13"/>
  <c r="G9" i="13"/>
  <c r="E9" i="13"/>
  <c r="C9" i="13"/>
  <c r="I8" i="13"/>
  <c r="I14" i="13" s="1"/>
  <c r="G8" i="13"/>
  <c r="G14" i="13" s="1"/>
  <c r="E8" i="13"/>
  <c r="E14" i="13" s="1"/>
  <c r="C8" i="13"/>
  <c r="C14" i="13" s="1"/>
  <c r="B19" i="13" l="1"/>
  <c r="C16" i="13"/>
  <c r="C17" i="13"/>
  <c r="B16" i="12"/>
  <c r="B18" i="12" s="1"/>
  <c r="B25" i="12" s="1"/>
  <c r="B15" i="12"/>
  <c r="B22" i="12" s="1"/>
  <c r="B12" i="12"/>
  <c r="B11" i="12"/>
  <c r="D10" i="12"/>
  <c r="D11" i="12" s="1"/>
  <c r="D12" i="12" s="1"/>
  <c r="D9" i="12"/>
  <c r="B9" i="12"/>
  <c r="D8" i="12"/>
  <c r="D7" i="12"/>
  <c r="D15" i="12" s="1"/>
  <c r="D22" i="12" l="1"/>
  <c r="D16" i="12"/>
  <c r="D17" i="12" s="1"/>
  <c r="D24" i="12" s="1"/>
  <c r="D19" i="12"/>
  <c r="D26" i="12" s="1"/>
  <c r="D28" i="12" s="1"/>
  <c r="B33" i="12"/>
  <c r="B17" i="12"/>
  <c r="B24" i="12" s="1"/>
  <c r="B19" i="12"/>
  <c r="B26" i="12" s="1"/>
  <c r="B31" i="12" s="1"/>
  <c r="E11" i="10"/>
  <c r="E10" i="10"/>
  <c r="E9" i="10"/>
  <c r="E8" i="10"/>
  <c r="E7" i="10"/>
  <c r="E6" i="10"/>
  <c r="D18" i="12" l="1"/>
  <c r="D25" i="12" s="1"/>
  <c r="D16" i="9"/>
  <c r="D15" i="9"/>
  <c r="D12" i="9"/>
  <c r="E10" i="9"/>
  <c r="E16" i="9" s="1"/>
  <c r="E9" i="9"/>
  <c r="E12" i="9" s="1"/>
  <c r="D33" i="12" l="1"/>
  <c r="D31" i="12"/>
  <c r="E15" i="9"/>
  <c r="S67" i="5"/>
  <c r="S68" i="5"/>
  <c r="S69" i="5"/>
  <c r="S70" i="5"/>
  <c r="S71" i="5"/>
  <c r="S72" i="5"/>
  <c r="S73" i="5"/>
  <c r="S74" i="5"/>
  <c r="S75" i="5"/>
  <c r="S76" i="5"/>
  <c r="S77" i="5"/>
  <c r="S66" i="5"/>
  <c r="S55" i="5"/>
  <c r="S56" i="5"/>
  <c r="S57" i="5"/>
  <c r="S58" i="5"/>
  <c r="S59" i="5"/>
  <c r="S60" i="5"/>
  <c r="S61" i="5"/>
  <c r="S62" i="5"/>
  <c r="S63" i="5"/>
  <c r="S64" i="5"/>
  <c r="S65" i="5"/>
  <c r="S54" i="5"/>
  <c r="S43" i="5"/>
  <c r="S44" i="5"/>
  <c r="S45" i="5"/>
  <c r="S46" i="5"/>
  <c r="S47" i="5"/>
  <c r="S48" i="5"/>
  <c r="S49" i="5"/>
  <c r="S50" i="5"/>
  <c r="S51" i="5"/>
  <c r="S52" i="5"/>
  <c r="S53" i="5"/>
  <c r="S42" i="5"/>
  <c r="S31" i="5"/>
  <c r="S32" i="5"/>
  <c r="S33" i="5"/>
  <c r="S34" i="5"/>
  <c r="S35" i="5"/>
  <c r="S36" i="5"/>
  <c r="S37" i="5"/>
  <c r="S38" i="5"/>
  <c r="S39" i="5"/>
  <c r="S40" i="5"/>
  <c r="S41" i="5"/>
  <c r="S30" i="5"/>
  <c r="S19" i="5"/>
  <c r="S20" i="5"/>
  <c r="S21" i="5"/>
  <c r="S22" i="5"/>
  <c r="S23" i="5"/>
  <c r="S24" i="5"/>
  <c r="S25" i="5"/>
  <c r="S26" i="5"/>
  <c r="S27" i="5"/>
  <c r="S28" i="5"/>
  <c r="S29" i="5"/>
  <c r="S18" i="5"/>
  <c r="S7" i="5"/>
  <c r="S8" i="5"/>
  <c r="S9" i="5"/>
  <c r="S10" i="5"/>
  <c r="S11" i="5"/>
  <c r="S12" i="5"/>
  <c r="S13" i="5"/>
  <c r="S14" i="5"/>
  <c r="S15" i="5"/>
  <c r="S16" i="5"/>
  <c r="S17" i="5"/>
  <c r="S6" i="5"/>
  <c r="C25" i="8"/>
  <c r="C24" i="8"/>
  <c r="C23" i="8"/>
  <c r="C22" i="8"/>
  <c r="AE18" i="8" l="1"/>
  <c r="AD18" i="8"/>
  <c r="AC18" i="8"/>
  <c r="AB18" i="8"/>
  <c r="Z18" i="8"/>
  <c r="Y18" i="8"/>
  <c r="X18" i="8"/>
  <c r="W18" i="8"/>
  <c r="U18" i="8"/>
  <c r="T18" i="8"/>
  <c r="S18" i="8"/>
  <c r="R18" i="8"/>
  <c r="P18" i="8"/>
  <c r="O18" i="8"/>
  <c r="N18" i="8"/>
  <c r="M18" i="8"/>
  <c r="K18" i="8"/>
  <c r="J18" i="8"/>
  <c r="I18" i="8"/>
  <c r="H18" i="8"/>
  <c r="F18" i="8"/>
  <c r="E18" i="8"/>
  <c r="D18" i="8"/>
  <c r="C18" i="8"/>
  <c r="AF17" i="8"/>
  <c r="AA17" i="8"/>
  <c r="V17" i="8"/>
  <c r="Q17" i="8"/>
  <c r="AG17" i="8" s="1"/>
  <c r="L17" i="8"/>
  <c r="G17" i="8"/>
  <c r="AF16" i="8"/>
  <c r="AA16" i="8"/>
  <c r="V16" i="8"/>
  <c r="Q16" i="8"/>
  <c r="L16" i="8"/>
  <c r="AG16" i="8" s="1"/>
  <c r="G16" i="8"/>
  <c r="AF15" i="8"/>
  <c r="AA15" i="8"/>
  <c r="V15" i="8"/>
  <c r="Q15" i="8"/>
  <c r="L15" i="8"/>
  <c r="G15" i="8"/>
  <c r="AG15" i="8" s="1"/>
  <c r="AF14" i="8"/>
  <c r="AA14" i="8"/>
  <c r="V14" i="8"/>
  <c r="Q14" i="8"/>
  <c r="L14" i="8"/>
  <c r="G14" i="8"/>
  <c r="AG14" i="8" s="1"/>
  <c r="AF13" i="8"/>
  <c r="AA13" i="8"/>
  <c r="V13" i="8"/>
  <c r="Q13" i="8"/>
  <c r="AG13" i="8" s="1"/>
  <c r="L13" i="8"/>
  <c r="G13" i="8"/>
  <c r="AF12" i="8"/>
  <c r="AA12" i="8"/>
  <c r="V12" i="8"/>
  <c r="Q12" i="8"/>
  <c r="L12" i="8"/>
  <c r="AG12" i="8" s="1"/>
  <c r="G12" i="8"/>
  <c r="AF11" i="8"/>
  <c r="AA11" i="8"/>
  <c r="V11" i="8"/>
  <c r="Q11" i="8"/>
  <c r="L11" i="8"/>
  <c r="G11" i="8"/>
  <c r="AG11" i="8" s="1"/>
  <c r="AF10" i="8"/>
  <c r="AA10" i="8"/>
  <c r="V10" i="8"/>
  <c r="Q10" i="8"/>
  <c r="L10" i="8"/>
  <c r="G10" i="8"/>
  <c r="AG10" i="8" s="1"/>
  <c r="AG9" i="8"/>
  <c r="AF9" i="8"/>
  <c r="AA9" i="8"/>
  <c r="V9" i="8"/>
  <c r="Q9" i="8"/>
  <c r="L9" i="8"/>
  <c r="G9" i="8"/>
  <c r="AF8" i="8"/>
  <c r="AA8" i="8"/>
  <c r="V8" i="8"/>
  <c r="Q8" i="8"/>
  <c r="L8" i="8"/>
  <c r="AG8" i="8" s="1"/>
  <c r="G8" i="8"/>
  <c r="AF7" i="8"/>
  <c r="AA7" i="8"/>
  <c r="V7" i="8"/>
  <c r="Q7" i="8"/>
  <c r="L7" i="8"/>
  <c r="G7" i="8"/>
  <c r="AG7" i="8" s="1"/>
  <c r="AF6" i="8"/>
  <c r="AF18" i="8" s="1"/>
  <c r="AA6" i="8"/>
  <c r="AA18" i="8" s="1"/>
  <c r="V6" i="8"/>
  <c r="V18" i="8" s="1"/>
  <c r="Q6" i="8"/>
  <c r="Q18" i="8" s="1"/>
  <c r="L6" i="8"/>
  <c r="L18" i="8" s="1"/>
  <c r="G6" i="8"/>
  <c r="G18" i="8" s="1"/>
  <c r="AG6" i="8" l="1"/>
  <c r="AF78" i="5" l="1"/>
  <c r="AE78" i="5"/>
  <c r="B26" i="7" l="1"/>
  <c r="B23" i="7"/>
  <c r="C22" i="7"/>
  <c r="D22" i="7"/>
  <c r="E22" i="7"/>
  <c r="F22" i="7"/>
  <c r="G22" i="7"/>
  <c r="B22" i="7"/>
  <c r="J20" i="7"/>
  <c r="K20" i="7"/>
  <c r="L20" i="7"/>
  <c r="M20" i="7"/>
  <c r="N20" i="7"/>
  <c r="I20" i="7"/>
  <c r="C20" i="7"/>
  <c r="D20" i="7"/>
  <c r="E20" i="7"/>
  <c r="F20" i="7"/>
  <c r="G20" i="7"/>
  <c r="B20" i="7"/>
  <c r="H77" i="6" l="1"/>
  <c r="E77" i="6"/>
  <c r="H76" i="6"/>
  <c r="E76" i="6"/>
  <c r="H75" i="6"/>
  <c r="E75" i="6"/>
  <c r="H74" i="6"/>
  <c r="E74" i="6"/>
  <c r="H73" i="6"/>
  <c r="E73" i="6"/>
  <c r="H72" i="6"/>
  <c r="E72" i="6"/>
  <c r="H71" i="6"/>
  <c r="E71" i="6"/>
  <c r="H70" i="6"/>
  <c r="E70" i="6"/>
  <c r="H69" i="6"/>
  <c r="E69" i="6"/>
  <c r="H68" i="6"/>
  <c r="E68" i="6"/>
  <c r="H67" i="6"/>
  <c r="E67" i="6"/>
  <c r="H66" i="6"/>
  <c r="E66" i="6"/>
  <c r="H65" i="6"/>
  <c r="E65" i="6"/>
  <c r="H64" i="6"/>
  <c r="E64" i="6"/>
  <c r="H63" i="6"/>
  <c r="E63" i="6"/>
  <c r="H62" i="6"/>
  <c r="E62" i="6"/>
  <c r="H61" i="6"/>
  <c r="E61" i="6"/>
  <c r="H60" i="6"/>
  <c r="E60" i="6"/>
  <c r="H59" i="6"/>
  <c r="E59" i="6"/>
  <c r="H58" i="6"/>
  <c r="E58" i="6"/>
  <c r="H57" i="6"/>
  <c r="E57" i="6"/>
  <c r="H56" i="6"/>
  <c r="E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E47" i="6"/>
  <c r="H46" i="6"/>
  <c r="E46" i="6"/>
  <c r="H45" i="6"/>
  <c r="E45" i="6"/>
  <c r="H44" i="6"/>
  <c r="E44" i="6"/>
  <c r="H43" i="6"/>
  <c r="E43" i="6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I19" i="3" l="1"/>
  <c r="H83" i="3"/>
  <c r="H84" i="3" s="1"/>
  <c r="I72" i="3"/>
  <c r="I73" i="3"/>
  <c r="I74" i="3"/>
  <c r="I75" i="3"/>
  <c r="I76" i="3"/>
  <c r="I77" i="3"/>
  <c r="I78" i="3"/>
  <c r="I79" i="3"/>
  <c r="I80" i="3"/>
  <c r="I81" i="3"/>
  <c r="I82" i="3"/>
  <c r="I71" i="3"/>
  <c r="I59" i="3"/>
  <c r="I60" i="3"/>
  <c r="I61" i="3"/>
  <c r="I62" i="3"/>
  <c r="I63" i="3"/>
  <c r="I64" i="3"/>
  <c r="I65" i="3"/>
  <c r="I66" i="3"/>
  <c r="I67" i="3"/>
  <c r="I68" i="3"/>
  <c r="I69" i="3"/>
  <c r="I58" i="3"/>
  <c r="I46" i="3"/>
  <c r="I47" i="3"/>
  <c r="I48" i="3"/>
  <c r="I49" i="3"/>
  <c r="I50" i="3"/>
  <c r="I51" i="3"/>
  <c r="I52" i="3"/>
  <c r="I53" i="3"/>
  <c r="I54" i="3"/>
  <c r="I55" i="3"/>
  <c r="I56" i="3"/>
  <c r="I45" i="3"/>
  <c r="I40" i="3"/>
  <c r="I41" i="3"/>
  <c r="I42" i="3"/>
  <c r="I43" i="3"/>
  <c r="I33" i="3"/>
  <c r="I34" i="3"/>
  <c r="I35" i="3"/>
  <c r="I36" i="3"/>
  <c r="I37" i="3"/>
  <c r="I38" i="3"/>
  <c r="I39" i="3"/>
  <c r="I32" i="3"/>
  <c r="I20" i="3"/>
  <c r="I21" i="3"/>
  <c r="I22" i="3"/>
  <c r="I23" i="3"/>
  <c r="I24" i="3"/>
  <c r="I25" i="3"/>
  <c r="I26" i="3"/>
  <c r="I27" i="3"/>
  <c r="I28" i="3"/>
  <c r="I29" i="3"/>
  <c r="I30" i="3"/>
  <c r="I31" i="3" l="1"/>
  <c r="I44" i="3"/>
  <c r="I57" i="3"/>
  <c r="I83" i="3"/>
  <c r="I70" i="3"/>
  <c r="I7" i="3" l="1"/>
  <c r="I8" i="3"/>
  <c r="I9" i="3"/>
  <c r="I10" i="3"/>
  <c r="I11" i="3"/>
  <c r="I12" i="3"/>
  <c r="I13" i="3"/>
  <c r="I14" i="3"/>
  <c r="I15" i="3"/>
  <c r="I16" i="3"/>
  <c r="I17" i="3"/>
  <c r="I6" i="3"/>
  <c r="G6" i="3"/>
  <c r="G7" i="3"/>
  <c r="G8" i="3"/>
  <c r="G9" i="3"/>
  <c r="G10" i="3"/>
  <c r="G11" i="3"/>
  <c r="G12" i="3"/>
  <c r="G13" i="3"/>
  <c r="G14" i="3"/>
  <c r="G15" i="3"/>
  <c r="G16" i="3"/>
  <c r="G17" i="3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J29" i="3" s="1"/>
  <c r="G30" i="3"/>
  <c r="J30" i="3" s="1"/>
  <c r="G32" i="3"/>
  <c r="J32" i="3" s="1"/>
  <c r="G33" i="3"/>
  <c r="J33" i="3" s="1"/>
  <c r="G34" i="3"/>
  <c r="J34" i="3" s="1"/>
  <c r="G35" i="3"/>
  <c r="J35" i="3" s="1"/>
  <c r="G36" i="3"/>
  <c r="J36" i="3" s="1"/>
  <c r="G37" i="3"/>
  <c r="J37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K75" i="3" l="1"/>
  <c r="M75" i="3" s="1"/>
  <c r="K66" i="3"/>
  <c r="M66" i="3" s="1"/>
  <c r="K58" i="3"/>
  <c r="M58" i="3" s="1"/>
  <c r="J70" i="3"/>
  <c r="K81" i="3"/>
  <c r="M81" i="3" s="1"/>
  <c r="K77" i="3"/>
  <c r="M77" i="3" s="1"/>
  <c r="K73" i="3"/>
  <c r="M73" i="3" s="1"/>
  <c r="K68" i="3"/>
  <c r="M68" i="3" s="1"/>
  <c r="K64" i="3"/>
  <c r="M64" i="3" s="1"/>
  <c r="K60" i="3"/>
  <c r="M60" i="3" s="1"/>
  <c r="K55" i="3"/>
  <c r="M55" i="3" s="1"/>
  <c r="K51" i="3"/>
  <c r="M51" i="3" s="1"/>
  <c r="K47" i="3"/>
  <c r="M47" i="3" s="1"/>
  <c r="K42" i="3"/>
  <c r="M42" i="3" s="1"/>
  <c r="K38" i="3"/>
  <c r="M38" i="3" s="1"/>
  <c r="K34" i="3"/>
  <c r="M34" i="3" s="1"/>
  <c r="K29" i="3"/>
  <c r="M29" i="3" s="1"/>
  <c r="K25" i="3"/>
  <c r="M25" i="3" s="1"/>
  <c r="K21" i="3"/>
  <c r="M21" i="3" s="1"/>
  <c r="K80" i="3"/>
  <c r="M80" i="3" s="1"/>
  <c r="K76" i="3"/>
  <c r="M76" i="3" s="1"/>
  <c r="K72" i="3"/>
  <c r="M72" i="3" s="1"/>
  <c r="K67" i="3"/>
  <c r="M67" i="3" s="1"/>
  <c r="K63" i="3"/>
  <c r="M63" i="3" s="1"/>
  <c r="K59" i="3"/>
  <c r="M59" i="3" s="1"/>
  <c r="K54" i="3"/>
  <c r="M54" i="3" s="1"/>
  <c r="K50" i="3"/>
  <c r="M50" i="3" s="1"/>
  <c r="K46" i="3"/>
  <c r="M46" i="3" s="1"/>
  <c r="K41" i="3"/>
  <c r="M41" i="3" s="1"/>
  <c r="K37" i="3"/>
  <c r="M37" i="3" s="1"/>
  <c r="K33" i="3"/>
  <c r="M33" i="3" s="1"/>
  <c r="K28" i="3"/>
  <c r="M28" i="3" s="1"/>
  <c r="K24" i="3"/>
  <c r="M24" i="3" s="1"/>
  <c r="K20" i="3"/>
  <c r="M20" i="3" s="1"/>
  <c r="J16" i="3"/>
  <c r="J12" i="3"/>
  <c r="J8" i="3"/>
  <c r="K79" i="3"/>
  <c r="M79" i="3" s="1"/>
  <c r="K71" i="3"/>
  <c r="M71" i="3" s="1"/>
  <c r="J83" i="3"/>
  <c r="K62" i="3"/>
  <c r="M62" i="3" s="1"/>
  <c r="K53" i="3"/>
  <c r="M53" i="3" s="1"/>
  <c r="K49" i="3"/>
  <c r="M49" i="3" s="1"/>
  <c r="K45" i="3"/>
  <c r="M45" i="3" s="1"/>
  <c r="J57" i="3"/>
  <c r="K40" i="3"/>
  <c r="M40" i="3" s="1"/>
  <c r="K36" i="3"/>
  <c r="M36" i="3" s="1"/>
  <c r="K32" i="3"/>
  <c r="M32" i="3" s="1"/>
  <c r="J44" i="3"/>
  <c r="K27" i="3"/>
  <c r="M27" i="3" s="1"/>
  <c r="K23" i="3"/>
  <c r="M23" i="3" s="1"/>
  <c r="J31" i="3"/>
  <c r="K19" i="3"/>
  <c r="M19" i="3" s="1"/>
  <c r="K82" i="3"/>
  <c r="M82" i="3" s="1"/>
  <c r="K78" i="3"/>
  <c r="M78" i="3" s="1"/>
  <c r="K74" i="3"/>
  <c r="M74" i="3" s="1"/>
  <c r="K69" i="3"/>
  <c r="M69" i="3" s="1"/>
  <c r="K65" i="3"/>
  <c r="M65" i="3" s="1"/>
  <c r="K61" i="3"/>
  <c r="M61" i="3" s="1"/>
  <c r="K56" i="3"/>
  <c r="M56" i="3" s="1"/>
  <c r="K52" i="3"/>
  <c r="M52" i="3" s="1"/>
  <c r="K48" i="3"/>
  <c r="M48" i="3" s="1"/>
  <c r="K43" i="3"/>
  <c r="M43" i="3" s="1"/>
  <c r="K39" i="3"/>
  <c r="M39" i="3" s="1"/>
  <c r="K35" i="3"/>
  <c r="M35" i="3" s="1"/>
  <c r="K30" i="3"/>
  <c r="M30" i="3" s="1"/>
  <c r="K26" i="3"/>
  <c r="M26" i="3" s="1"/>
  <c r="K22" i="3"/>
  <c r="M22" i="3" s="1"/>
  <c r="I18" i="3"/>
  <c r="J15" i="3"/>
  <c r="J11" i="3"/>
  <c r="J7" i="3"/>
  <c r="J6" i="3"/>
  <c r="J14" i="3"/>
  <c r="J10" i="3"/>
  <c r="J17" i="3"/>
  <c r="J13" i="3"/>
  <c r="J9" i="3"/>
  <c r="L59" i="3" l="1"/>
  <c r="N59" i="3" s="1"/>
  <c r="O59" i="3" s="1"/>
  <c r="P59" i="3" s="1"/>
  <c r="Q59" i="3" s="1"/>
  <c r="K6" i="3"/>
  <c r="L62" i="3"/>
  <c r="N62" i="3" s="1"/>
  <c r="O62" i="3" s="1"/>
  <c r="P62" i="3" s="1"/>
  <c r="Q62" i="3" s="1"/>
  <c r="L67" i="3"/>
  <c r="N67" i="3" s="1"/>
  <c r="O67" i="3" s="1"/>
  <c r="P67" i="3" s="1"/>
  <c r="Q67" i="3" s="1"/>
  <c r="L19" i="3"/>
  <c r="N19" i="3" s="1"/>
  <c r="L50" i="3"/>
  <c r="N50" i="3" s="1"/>
  <c r="O50" i="3" s="1"/>
  <c r="P50" i="3" s="1"/>
  <c r="Q50" i="3" s="1"/>
  <c r="L49" i="3"/>
  <c r="N49" i="3" s="1"/>
  <c r="O49" i="3" s="1"/>
  <c r="P49" i="3" s="1"/>
  <c r="Q49" i="3" s="1"/>
  <c r="L47" i="3"/>
  <c r="N47" i="3" s="1"/>
  <c r="O47" i="3" s="1"/>
  <c r="P47" i="3" s="1"/>
  <c r="Q47" i="3" s="1"/>
  <c r="L38" i="3"/>
  <c r="N38" i="3" s="1"/>
  <c r="O38" i="3" s="1"/>
  <c r="P38" i="3" s="1"/>
  <c r="Q38" i="3" s="1"/>
  <c r="L22" i="3"/>
  <c r="N22" i="3" s="1"/>
  <c r="O22" i="3" s="1"/>
  <c r="P22" i="3" s="1"/>
  <c r="Q22" i="3" s="1"/>
  <c r="L30" i="3"/>
  <c r="N30" i="3" s="1"/>
  <c r="O30" i="3" s="1"/>
  <c r="P30" i="3" s="1"/>
  <c r="Q30" i="3" s="1"/>
  <c r="L39" i="3"/>
  <c r="N39" i="3" s="1"/>
  <c r="O39" i="3" s="1"/>
  <c r="P39" i="3" s="1"/>
  <c r="Q39" i="3" s="1"/>
  <c r="L29" i="3"/>
  <c r="N29" i="3" s="1"/>
  <c r="O29" i="3" s="1"/>
  <c r="P29" i="3" s="1"/>
  <c r="Q29" i="3" s="1"/>
  <c r="L60" i="3"/>
  <c r="N60" i="3" s="1"/>
  <c r="O60" i="3" s="1"/>
  <c r="P60" i="3" s="1"/>
  <c r="Q60" i="3" s="1"/>
  <c r="L68" i="3"/>
  <c r="N68" i="3" s="1"/>
  <c r="O68" i="3" s="1"/>
  <c r="P68" i="3" s="1"/>
  <c r="Q68" i="3" s="1"/>
  <c r="L77" i="3"/>
  <c r="N77" i="3" s="1"/>
  <c r="O77" i="3" s="1"/>
  <c r="P77" i="3" s="1"/>
  <c r="Q77" i="3" s="1"/>
  <c r="L53" i="3"/>
  <c r="N53" i="3" s="1"/>
  <c r="O53" i="3" s="1"/>
  <c r="P53" i="3" s="1"/>
  <c r="Q53" i="3" s="1"/>
  <c r="L42" i="3"/>
  <c r="N42" i="3" s="1"/>
  <c r="O42" i="3" s="1"/>
  <c r="P42" i="3" s="1"/>
  <c r="Q42" i="3" s="1"/>
  <c r="L51" i="3"/>
  <c r="N51" i="3" s="1"/>
  <c r="O51" i="3" s="1"/>
  <c r="P51" i="3" s="1"/>
  <c r="Q51" i="3" s="1"/>
  <c r="L26" i="3"/>
  <c r="N26" i="3" s="1"/>
  <c r="O26" i="3" s="1"/>
  <c r="P26" i="3" s="1"/>
  <c r="Q26" i="3" s="1"/>
  <c r="L35" i="3"/>
  <c r="N35" i="3" s="1"/>
  <c r="O35" i="3" s="1"/>
  <c r="P35" i="3" s="1"/>
  <c r="Q35" i="3" s="1"/>
  <c r="L43" i="3"/>
  <c r="N43" i="3" s="1"/>
  <c r="O43" i="3" s="1"/>
  <c r="P43" i="3" s="1"/>
  <c r="Q43" i="3" s="1"/>
  <c r="L56" i="3"/>
  <c r="N56" i="3" s="1"/>
  <c r="O56" i="3" s="1"/>
  <c r="P56" i="3" s="1"/>
  <c r="Q56" i="3" s="1"/>
  <c r="L27" i="3"/>
  <c r="N27" i="3" s="1"/>
  <c r="O27" i="3" s="1"/>
  <c r="P27" i="3" s="1"/>
  <c r="Q27" i="3" s="1"/>
  <c r="L40" i="3"/>
  <c r="N40" i="3" s="1"/>
  <c r="O40" i="3" s="1"/>
  <c r="P40" i="3" s="1"/>
  <c r="Q40" i="3" s="1"/>
  <c r="L76" i="3"/>
  <c r="N76" i="3" s="1"/>
  <c r="O76" i="3" s="1"/>
  <c r="P76" i="3" s="1"/>
  <c r="Q76" i="3" s="1"/>
  <c r="L64" i="3"/>
  <c r="N64" i="3" s="1"/>
  <c r="O64" i="3" s="1"/>
  <c r="P64" i="3" s="1"/>
  <c r="Q64" i="3" s="1"/>
  <c r="L73" i="3"/>
  <c r="N73" i="3" s="1"/>
  <c r="O73" i="3" s="1"/>
  <c r="P73" i="3" s="1"/>
  <c r="Q73" i="3" s="1"/>
  <c r="L81" i="3"/>
  <c r="N81" i="3" s="1"/>
  <c r="O81" i="3" s="1"/>
  <c r="P81" i="3" s="1"/>
  <c r="Q81" i="3" s="1"/>
  <c r="K17" i="3"/>
  <c r="M17" i="3" s="1"/>
  <c r="K7" i="3"/>
  <c r="M7" i="3" s="1"/>
  <c r="K10" i="3"/>
  <c r="M10" i="3" s="1"/>
  <c r="K11" i="3"/>
  <c r="M11" i="3" s="1"/>
  <c r="L52" i="3"/>
  <c r="N52" i="3" s="1"/>
  <c r="O52" i="3" s="1"/>
  <c r="P52" i="3" s="1"/>
  <c r="Q52" i="3" s="1"/>
  <c r="L61" i="3"/>
  <c r="N61" i="3" s="1"/>
  <c r="O61" i="3" s="1"/>
  <c r="P61" i="3" s="1"/>
  <c r="Q61" i="3" s="1"/>
  <c r="L69" i="3"/>
  <c r="N69" i="3" s="1"/>
  <c r="O69" i="3" s="1"/>
  <c r="P69" i="3" s="1"/>
  <c r="Q69" i="3" s="1"/>
  <c r="L78" i="3"/>
  <c r="N78" i="3" s="1"/>
  <c r="O78" i="3" s="1"/>
  <c r="P78" i="3" s="1"/>
  <c r="Q78" i="3" s="1"/>
  <c r="L32" i="3"/>
  <c r="N32" i="3" s="1"/>
  <c r="L71" i="3"/>
  <c r="N71" i="3" s="1"/>
  <c r="K8" i="3"/>
  <c r="M8" i="3" s="1"/>
  <c r="K16" i="3"/>
  <c r="M16" i="3" s="1"/>
  <c r="L24" i="3"/>
  <c r="N24" i="3" s="1"/>
  <c r="O24" i="3" s="1"/>
  <c r="P24" i="3" s="1"/>
  <c r="Q24" i="3" s="1"/>
  <c r="L33" i="3"/>
  <c r="N33" i="3" s="1"/>
  <c r="O33" i="3" s="1"/>
  <c r="P33" i="3" s="1"/>
  <c r="Q33" i="3" s="1"/>
  <c r="L41" i="3"/>
  <c r="N41" i="3" s="1"/>
  <c r="O41" i="3" s="1"/>
  <c r="P41" i="3" s="1"/>
  <c r="Q41" i="3" s="1"/>
  <c r="L25" i="3"/>
  <c r="N25" i="3" s="1"/>
  <c r="O25" i="3" s="1"/>
  <c r="P25" i="3" s="1"/>
  <c r="Q25" i="3" s="1"/>
  <c r="L34" i="3"/>
  <c r="N34" i="3" s="1"/>
  <c r="O34" i="3" s="1"/>
  <c r="P34" i="3" s="1"/>
  <c r="Q34" i="3" s="1"/>
  <c r="L66" i="3"/>
  <c r="N66" i="3" s="1"/>
  <c r="O66" i="3" s="1"/>
  <c r="P66" i="3" s="1"/>
  <c r="Q66" i="3" s="1"/>
  <c r="K9" i="3"/>
  <c r="M9" i="3" s="1"/>
  <c r="K14" i="3"/>
  <c r="M14" i="3" s="1"/>
  <c r="K15" i="3"/>
  <c r="M15" i="3" s="1"/>
  <c r="K13" i="3"/>
  <c r="M13" i="3" s="1"/>
  <c r="J18" i="3"/>
  <c r="L48" i="3"/>
  <c r="N48" i="3" s="1"/>
  <c r="O48" i="3" s="1"/>
  <c r="P48" i="3" s="1"/>
  <c r="Q48" i="3" s="1"/>
  <c r="L65" i="3"/>
  <c r="N65" i="3" s="1"/>
  <c r="O65" i="3" s="1"/>
  <c r="P65" i="3" s="1"/>
  <c r="Q65" i="3" s="1"/>
  <c r="L74" i="3"/>
  <c r="N74" i="3" s="1"/>
  <c r="O74" i="3" s="1"/>
  <c r="P74" i="3" s="1"/>
  <c r="Q74" i="3" s="1"/>
  <c r="L82" i="3"/>
  <c r="N82" i="3" s="1"/>
  <c r="O82" i="3" s="1"/>
  <c r="P82" i="3" s="1"/>
  <c r="Q82" i="3" s="1"/>
  <c r="L23" i="3"/>
  <c r="N23" i="3" s="1"/>
  <c r="O23" i="3" s="1"/>
  <c r="P23" i="3" s="1"/>
  <c r="Q23" i="3" s="1"/>
  <c r="L36" i="3"/>
  <c r="N36" i="3" s="1"/>
  <c r="O36" i="3" s="1"/>
  <c r="P36" i="3" s="1"/>
  <c r="Q36" i="3" s="1"/>
  <c r="L45" i="3"/>
  <c r="N45" i="3" s="1"/>
  <c r="L79" i="3"/>
  <c r="N79" i="3" s="1"/>
  <c r="O79" i="3" s="1"/>
  <c r="P79" i="3" s="1"/>
  <c r="Q79" i="3" s="1"/>
  <c r="K12" i="3"/>
  <c r="M12" i="3" s="1"/>
  <c r="L20" i="3"/>
  <c r="N20" i="3" s="1"/>
  <c r="O20" i="3" s="1"/>
  <c r="P20" i="3" s="1"/>
  <c r="Q20" i="3" s="1"/>
  <c r="L28" i="3"/>
  <c r="N28" i="3" s="1"/>
  <c r="O28" i="3" s="1"/>
  <c r="P28" i="3" s="1"/>
  <c r="Q28" i="3" s="1"/>
  <c r="L37" i="3"/>
  <c r="N37" i="3" s="1"/>
  <c r="O37" i="3" s="1"/>
  <c r="P37" i="3" s="1"/>
  <c r="Q37" i="3" s="1"/>
  <c r="L46" i="3"/>
  <c r="N46" i="3" s="1"/>
  <c r="O46" i="3" s="1"/>
  <c r="P46" i="3" s="1"/>
  <c r="Q46" i="3" s="1"/>
  <c r="L54" i="3"/>
  <c r="N54" i="3" s="1"/>
  <c r="O54" i="3" s="1"/>
  <c r="P54" i="3" s="1"/>
  <c r="Q54" i="3" s="1"/>
  <c r="L63" i="3"/>
  <c r="N63" i="3" s="1"/>
  <c r="O63" i="3" s="1"/>
  <c r="P63" i="3" s="1"/>
  <c r="Q63" i="3" s="1"/>
  <c r="L72" i="3"/>
  <c r="N72" i="3" s="1"/>
  <c r="O72" i="3" s="1"/>
  <c r="P72" i="3" s="1"/>
  <c r="Q72" i="3" s="1"/>
  <c r="L80" i="3"/>
  <c r="N80" i="3" s="1"/>
  <c r="O80" i="3" s="1"/>
  <c r="P80" i="3" s="1"/>
  <c r="Q80" i="3" s="1"/>
  <c r="L21" i="3"/>
  <c r="N21" i="3" s="1"/>
  <c r="O21" i="3" s="1"/>
  <c r="P21" i="3" s="1"/>
  <c r="Q21" i="3" s="1"/>
  <c r="L55" i="3"/>
  <c r="N55" i="3" s="1"/>
  <c r="O55" i="3" s="1"/>
  <c r="P55" i="3" s="1"/>
  <c r="Q55" i="3" s="1"/>
  <c r="L58" i="3"/>
  <c r="N58" i="3" s="1"/>
  <c r="L75" i="3"/>
  <c r="N75" i="3" s="1"/>
  <c r="O75" i="3" s="1"/>
  <c r="P75" i="3" s="1"/>
  <c r="Q75" i="3" s="1"/>
  <c r="M6" i="3"/>
  <c r="AH78" i="5"/>
  <c r="AG78" i="5"/>
  <c r="O71" i="3" l="1"/>
  <c r="P71" i="3" s="1"/>
  <c r="Q71" i="3" s="1"/>
  <c r="N83" i="3"/>
  <c r="O83" i="3" s="1"/>
  <c r="P83" i="3" s="1"/>
  <c r="O58" i="3"/>
  <c r="P58" i="3" s="1"/>
  <c r="Q58" i="3" s="1"/>
  <c r="Q70" i="3" s="1"/>
  <c r="N70" i="3"/>
  <c r="O70" i="3" s="1"/>
  <c r="P70" i="3" s="1"/>
  <c r="O45" i="3"/>
  <c r="P45" i="3" s="1"/>
  <c r="Q45" i="3" s="1"/>
  <c r="Q57" i="3" s="1"/>
  <c r="N57" i="3"/>
  <c r="O57" i="3" s="1"/>
  <c r="P57" i="3" s="1"/>
  <c r="O32" i="3"/>
  <c r="P32" i="3" s="1"/>
  <c r="Q32" i="3" s="1"/>
  <c r="Q44" i="3" s="1"/>
  <c r="N44" i="3"/>
  <c r="O44" i="3" s="1"/>
  <c r="P44" i="3" s="1"/>
  <c r="O19" i="3"/>
  <c r="P19" i="3" s="1"/>
  <c r="Q19" i="3" s="1"/>
  <c r="N31" i="3"/>
  <c r="O31" i="3" s="1"/>
  <c r="P31" i="3" s="1"/>
  <c r="L17" i="3"/>
  <c r="N17" i="3" s="1"/>
  <c r="O17" i="3" s="1"/>
  <c r="P17" i="3" s="1"/>
  <c r="Q17" i="3" s="1"/>
  <c r="L7" i="3"/>
  <c r="N7" i="3" s="1"/>
  <c r="O7" i="3" s="1"/>
  <c r="P7" i="3" s="1"/>
  <c r="Q7" i="3" s="1"/>
  <c r="Q31" i="3"/>
  <c r="L15" i="3"/>
  <c r="N15" i="3" s="1"/>
  <c r="O15" i="3" s="1"/>
  <c r="P15" i="3" s="1"/>
  <c r="Q15" i="3" s="1"/>
  <c r="L9" i="3"/>
  <c r="N9" i="3" s="1"/>
  <c r="O9" i="3" s="1"/>
  <c r="P9" i="3" s="1"/>
  <c r="Q9" i="3" s="1"/>
  <c r="L16" i="3"/>
  <c r="N16" i="3" s="1"/>
  <c r="O16" i="3" s="1"/>
  <c r="P16" i="3" s="1"/>
  <c r="Q16" i="3" s="1"/>
  <c r="Q83" i="3"/>
  <c r="L10" i="3"/>
  <c r="N10" i="3" s="1"/>
  <c r="O10" i="3" s="1"/>
  <c r="P10" i="3" s="1"/>
  <c r="Q10" i="3" s="1"/>
  <c r="L12" i="3"/>
  <c r="N12" i="3" s="1"/>
  <c r="O12" i="3" s="1"/>
  <c r="P12" i="3" s="1"/>
  <c r="Q12" i="3" s="1"/>
  <c r="L13" i="3"/>
  <c r="N13" i="3" s="1"/>
  <c r="O13" i="3" s="1"/>
  <c r="P13" i="3" s="1"/>
  <c r="Q13" i="3" s="1"/>
  <c r="L14" i="3"/>
  <c r="N14" i="3" s="1"/>
  <c r="O14" i="3" s="1"/>
  <c r="P14" i="3" s="1"/>
  <c r="Q14" i="3" s="1"/>
  <c r="L8" i="3"/>
  <c r="N8" i="3" s="1"/>
  <c r="O8" i="3" s="1"/>
  <c r="P8" i="3" s="1"/>
  <c r="Q8" i="3" s="1"/>
  <c r="L11" i="3"/>
  <c r="N11" i="3" s="1"/>
  <c r="O11" i="3" s="1"/>
  <c r="P11" i="3" s="1"/>
  <c r="Q11" i="3" s="1"/>
  <c r="AS7" i="5" l="1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4" i="5"/>
  <c r="AS65" i="5"/>
  <c r="AS66" i="5"/>
  <c r="AS67" i="5"/>
  <c r="AS68" i="5"/>
  <c r="AS69" i="5"/>
  <c r="AS70" i="5"/>
  <c r="AS71" i="5"/>
  <c r="AS72" i="5"/>
  <c r="AS73" i="5"/>
  <c r="AS74" i="5"/>
  <c r="AS75" i="5"/>
  <c r="AS76" i="5"/>
  <c r="AS77" i="5"/>
  <c r="AS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6" i="5"/>
  <c r="AM7" i="5" l="1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M6" i="5"/>
  <c r="T6" i="5"/>
  <c r="T7" i="5"/>
  <c r="T8" i="5"/>
  <c r="T9" i="5"/>
  <c r="AL9" i="5" s="1"/>
  <c r="T10" i="5"/>
  <c r="T13" i="5"/>
  <c r="AL13" i="5" s="1"/>
  <c r="T14" i="5"/>
  <c r="T15" i="5"/>
  <c r="T16" i="5"/>
  <c r="T17" i="5"/>
  <c r="AL17" i="5" s="1"/>
  <c r="T18" i="5"/>
  <c r="T21" i="5"/>
  <c r="AL21" i="5" s="1"/>
  <c r="T22" i="5"/>
  <c r="T23" i="5"/>
  <c r="T24" i="5"/>
  <c r="T25" i="5"/>
  <c r="AL25" i="5" s="1"/>
  <c r="T26" i="5"/>
  <c r="T29" i="5"/>
  <c r="AL29" i="5" s="1"/>
  <c r="T30" i="5"/>
  <c r="T31" i="5"/>
  <c r="T32" i="5"/>
  <c r="T33" i="5"/>
  <c r="AL33" i="5" s="1"/>
  <c r="T34" i="5"/>
  <c r="T37" i="5"/>
  <c r="AL37" i="5" s="1"/>
  <c r="T38" i="5"/>
  <c r="T39" i="5"/>
  <c r="T40" i="5"/>
  <c r="T41" i="5"/>
  <c r="AL41" i="5" s="1"/>
  <c r="T42" i="5"/>
  <c r="T45" i="5"/>
  <c r="AL45" i="5" s="1"/>
  <c r="T46" i="5"/>
  <c r="T47" i="5"/>
  <c r="T48" i="5"/>
  <c r="T49" i="5"/>
  <c r="AL49" i="5" s="1"/>
  <c r="T50" i="5"/>
  <c r="T53" i="5"/>
  <c r="AL53" i="5" s="1"/>
  <c r="T56" i="5"/>
  <c r="T57" i="5"/>
  <c r="AL57" i="5" s="1"/>
  <c r="T59" i="5"/>
  <c r="T60" i="5"/>
  <c r="T61" i="5"/>
  <c r="AL61" i="5" s="1"/>
  <c r="T64" i="5"/>
  <c r="T74" i="5" l="1"/>
  <c r="AL74" i="5" s="1"/>
  <c r="AN74" i="5" s="1"/>
  <c r="AT74" i="5" s="1"/>
  <c r="T66" i="5"/>
  <c r="T65" i="5"/>
  <c r="T76" i="5"/>
  <c r="T72" i="5"/>
  <c r="T68" i="5"/>
  <c r="AL6" i="5"/>
  <c r="T75" i="5"/>
  <c r="T70" i="5"/>
  <c r="T69" i="5"/>
  <c r="T71" i="5"/>
  <c r="T67" i="5"/>
  <c r="T77" i="5"/>
  <c r="AL77" i="5" s="1"/>
  <c r="AN77" i="5" s="1"/>
  <c r="AT77" i="5" s="1"/>
  <c r="T73" i="5"/>
  <c r="T62" i="5"/>
  <c r="AL62" i="5" s="1"/>
  <c r="AN62" i="5" s="1"/>
  <c r="AT62" i="5" s="1"/>
  <c r="T54" i="5"/>
  <c r="AL54" i="5" s="1"/>
  <c r="AN54" i="5" s="1"/>
  <c r="AT54" i="5" s="1"/>
  <c r="T58" i="5"/>
  <c r="AL58" i="5" s="1"/>
  <c r="AN58" i="5" s="1"/>
  <c r="AT58" i="5" s="1"/>
  <c r="AL59" i="5"/>
  <c r="AN59" i="5" s="1"/>
  <c r="AT59" i="5" s="1"/>
  <c r="AL47" i="5"/>
  <c r="AN47" i="5" s="1"/>
  <c r="AT47" i="5" s="1"/>
  <c r="AL39" i="5"/>
  <c r="AN39" i="5" s="1"/>
  <c r="AT39" i="5" s="1"/>
  <c r="AL31" i="5"/>
  <c r="AN31" i="5" s="1"/>
  <c r="AT31" i="5" s="1"/>
  <c r="AL23" i="5"/>
  <c r="AN23" i="5" s="1"/>
  <c r="AT23" i="5" s="1"/>
  <c r="AL15" i="5"/>
  <c r="AN15" i="5" s="1"/>
  <c r="AT15" i="5" s="1"/>
  <c r="AL7" i="5"/>
  <c r="AN7" i="5" s="1"/>
  <c r="AT7" i="5" s="1"/>
  <c r="T51" i="5"/>
  <c r="AL51" i="5" s="1"/>
  <c r="AN51" i="5" s="1"/>
  <c r="AT51" i="5" s="1"/>
  <c r="T43" i="5"/>
  <c r="AL43" i="5" s="1"/>
  <c r="AN43" i="5" s="1"/>
  <c r="AT43" i="5" s="1"/>
  <c r="T35" i="5"/>
  <c r="AL35" i="5" s="1"/>
  <c r="AN35" i="5" s="1"/>
  <c r="AT35" i="5" s="1"/>
  <c r="T27" i="5"/>
  <c r="AL27" i="5" s="1"/>
  <c r="AN27" i="5" s="1"/>
  <c r="AT27" i="5" s="1"/>
  <c r="T19" i="5"/>
  <c r="AL19" i="5" s="1"/>
  <c r="AN19" i="5" s="1"/>
  <c r="AT19" i="5" s="1"/>
  <c r="T11" i="5"/>
  <c r="AL11" i="5" s="1"/>
  <c r="AN11" i="5" s="1"/>
  <c r="AT11" i="5" s="1"/>
  <c r="AN61" i="5"/>
  <c r="AT61" i="5" s="1"/>
  <c r="AN57" i="5"/>
  <c r="AT57" i="5" s="1"/>
  <c r="AN53" i="5"/>
  <c r="AT53" i="5" s="1"/>
  <c r="AN49" i="5"/>
  <c r="AT49" i="5" s="1"/>
  <c r="AN45" i="5"/>
  <c r="AT45" i="5" s="1"/>
  <c r="AN41" i="5"/>
  <c r="AT41" i="5" s="1"/>
  <c r="AN37" i="5"/>
  <c r="AT37" i="5" s="1"/>
  <c r="AN33" i="5"/>
  <c r="AT33" i="5" s="1"/>
  <c r="AN29" i="5"/>
  <c r="AT29" i="5" s="1"/>
  <c r="AN25" i="5"/>
  <c r="AT25" i="5" s="1"/>
  <c r="AN21" i="5"/>
  <c r="AT21" i="5" s="1"/>
  <c r="AN17" i="5"/>
  <c r="AT17" i="5" s="1"/>
  <c r="AN13" i="5"/>
  <c r="AT13" i="5" s="1"/>
  <c r="AN9" i="5"/>
  <c r="AT9" i="5" s="1"/>
  <c r="T55" i="5"/>
  <c r="AL55" i="5" s="1"/>
  <c r="AN55" i="5" s="1"/>
  <c r="AT55" i="5" s="1"/>
  <c r="AL50" i="5"/>
  <c r="AN50" i="5" s="1"/>
  <c r="AT50" i="5" s="1"/>
  <c r="AL42" i="5"/>
  <c r="AN42" i="5" s="1"/>
  <c r="AT42" i="5" s="1"/>
  <c r="AL34" i="5"/>
  <c r="AN34" i="5" s="1"/>
  <c r="AT34" i="5" s="1"/>
  <c r="AL26" i="5"/>
  <c r="AN26" i="5" s="1"/>
  <c r="AT26" i="5" s="1"/>
  <c r="AL18" i="5"/>
  <c r="AN18" i="5" s="1"/>
  <c r="AT18" i="5" s="1"/>
  <c r="AL10" i="5"/>
  <c r="AN10" i="5" s="1"/>
  <c r="AT10" i="5" s="1"/>
  <c r="AL64" i="5"/>
  <c r="AN64" i="5" s="1"/>
  <c r="AT64" i="5" s="1"/>
  <c r="AL60" i="5"/>
  <c r="AN60" i="5" s="1"/>
  <c r="AT60" i="5" s="1"/>
  <c r="AL56" i="5"/>
  <c r="AN56" i="5" s="1"/>
  <c r="AT56" i="5" s="1"/>
  <c r="AL48" i="5"/>
  <c r="AN48" i="5" s="1"/>
  <c r="AT48" i="5" s="1"/>
  <c r="AL40" i="5"/>
  <c r="AN40" i="5" s="1"/>
  <c r="AT40" i="5" s="1"/>
  <c r="AL32" i="5"/>
  <c r="AN32" i="5" s="1"/>
  <c r="AT32" i="5" s="1"/>
  <c r="AL24" i="5"/>
  <c r="AN24" i="5" s="1"/>
  <c r="AT24" i="5" s="1"/>
  <c r="AL16" i="5"/>
  <c r="AN16" i="5" s="1"/>
  <c r="AT16" i="5" s="1"/>
  <c r="AL8" i="5"/>
  <c r="AN8" i="5" s="1"/>
  <c r="AT8" i="5" s="1"/>
  <c r="T63" i="5"/>
  <c r="AL63" i="5" s="1"/>
  <c r="AN63" i="5" s="1"/>
  <c r="AT63" i="5" s="1"/>
  <c r="T52" i="5"/>
  <c r="AL52" i="5" s="1"/>
  <c r="AN52" i="5" s="1"/>
  <c r="AT52" i="5" s="1"/>
  <c r="T44" i="5"/>
  <c r="AL44" i="5" s="1"/>
  <c r="AN44" i="5" s="1"/>
  <c r="AT44" i="5" s="1"/>
  <c r="T36" i="5"/>
  <c r="AL36" i="5" s="1"/>
  <c r="AN36" i="5" s="1"/>
  <c r="AT36" i="5" s="1"/>
  <c r="T28" i="5"/>
  <c r="AL28" i="5" s="1"/>
  <c r="AN28" i="5" s="1"/>
  <c r="AT28" i="5" s="1"/>
  <c r="T20" i="5"/>
  <c r="AL20" i="5" s="1"/>
  <c r="AN20" i="5" s="1"/>
  <c r="AT20" i="5" s="1"/>
  <c r="T12" i="5"/>
  <c r="AL12" i="5" s="1"/>
  <c r="AN12" i="5" s="1"/>
  <c r="AT12" i="5" s="1"/>
  <c r="AL46" i="5"/>
  <c r="AN46" i="5" s="1"/>
  <c r="AT46" i="5" s="1"/>
  <c r="AL38" i="5"/>
  <c r="AN38" i="5" s="1"/>
  <c r="AT38" i="5" s="1"/>
  <c r="AL30" i="5"/>
  <c r="AN30" i="5" s="1"/>
  <c r="AT30" i="5" s="1"/>
  <c r="AL22" i="5"/>
  <c r="AN22" i="5" s="1"/>
  <c r="AT22" i="5" s="1"/>
  <c r="AL14" i="5"/>
  <c r="AN14" i="5" s="1"/>
  <c r="AT14" i="5" s="1"/>
  <c r="AL71" i="5" l="1"/>
  <c r="AN71" i="5" s="1"/>
  <c r="AT71" i="5" s="1"/>
  <c r="AL70" i="5"/>
  <c r="AN70" i="5" s="1"/>
  <c r="AT70" i="5" s="1"/>
  <c r="AL73" i="5"/>
  <c r="AN73" i="5" s="1"/>
  <c r="AT73" i="5" s="1"/>
  <c r="AL66" i="5"/>
  <c r="AN66" i="5" s="1"/>
  <c r="AT66" i="5" s="1"/>
  <c r="AL75" i="5"/>
  <c r="AN75" i="5" s="1"/>
  <c r="AT75" i="5" s="1"/>
  <c r="AL72" i="5"/>
  <c r="AN72" i="5" s="1"/>
  <c r="AT72" i="5" s="1"/>
  <c r="AL65" i="5"/>
  <c r="AN65" i="5" s="1"/>
  <c r="AT65" i="5" s="1"/>
  <c r="AL67" i="5"/>
  <c r="AN67" i="5" s="1"/>
  <c r="AT67" i="5" s="1"/>
  <c r="AL69" i="5"/>
  <c r="AN69" i="5" s="1"/>
  <c r="AT69" i="5" s="1"/>
  <c r="AL68" i="5"/>
  <c r="AN68" i="5" s="1"/>
  <c r="AT68" i="5" s="1"/>
  <c r="AL76" i="5"/>
  <c r="AN76" i="5" s="1"/>
  <c r="AT76" i="5" s="1"/>
  <c r="AK6" i="5"/>
  <c r="AI6" i="5" l="1"/>
  <c r="AN6" i="5" s="1"/>
  <c r="AT6" i="5" s="1"/>
  <c r="R77" i="5"/>
  <c r="K77" i="5"/>
  <c r="R76" i="5"/>
  <c r="K76" i="5"/>
  <c r="R75" i="5"/>
  <c r="K75" i="5"/>
  <c r="R74" i="5"/>
  <c r="K74" i="5"/>
  <c r="R73" i="5"/>
  <c r="K73" i="5"/>
  <c r="R72" i="5"/>
  <c r="K72" i="5"/>
  <c r="R71" i="5"/>
  <c r="K71" i="5"/>
  <c r="R70" i="5"/>
  <c r="K70" i="5"/>
  <c r="R69" i="5"/>
  <c r="K69" i="5"/>
  <c r="R68" i="5"/>
  <c r="K68" i="5"/>
  <c r="R67" i="5"/>
  <c r="K67" i="5"/>
  <c r="R66" i="5"/>
  <c r="K66" i="5"/>
  <c r="R65" i="5"/>
  <c r="K65" i="5"/>
  <c r="R64" i="5"/>
  <c r="K64" i="5"/>
  <c r="R63" i="5"/>
  <c r="K63" i="5"/>
  <c r="R62" i="5"/>
  <c r="K62" i="5"/>
  <c r="R61" i="5"/>
  <c r="K61" i="5"/>
  <c r="R60" i="5"/>
  <c r="K60" i="5"/>
  <c r="R59" i="5"/>
  <c r="K59" i="5"/>
  <c r="R58" i="5"/>
  <c r="K58" i="5"/>
  <c r="R57" i="5"/>
  <c r="K57" i="5"/>
  <c r="R56" i="5"/>
  <c r="K56" i="5"/>
  <c r="R55" i="5"/>
  <c r="K55" i="5"/>
  <c r="R54" i="5"/>
  <c r="K54" i="5"/>
  <c r="R53" i="5"/>
  <c r="K53" i="5"/>
  <c r="R52" i="5"/>
  <c r="K52" i="5"/>
  <c r="R51" i="5"/>
  <c r="K51" i="5"/>
  <c r="D51" i="5" s="1"/>
  <c r="W51" i="5" s="1"/>
  <c r="BJ51" i="5" s="1"/>
  <c r="R50" i="5"/>
  <c r="K50" i="5"/>
  <c r="R49" i="5"/>
  <c r="K49" i="5"/>
  <c r="R48" i="5"/>
  <c r="K48" i="5"/>
  <c r="R47" i="5"/>
  <c r="K47" i="5"/>
  <c r="R46" i="5"/>
  <c r="K46" i="5"/>
  <c r="R45" i="5"/>
  <c r="K45" i="5"/>
  <c r="R44" i="5"/>
  <c r="K44" i="5"/>
  <c r="R43" i="5"/>
  <c r="K43" i="5"/>
  <c r="R42" i="5"/>
  <c r="K42" i="5"/>
  <c r="R41" i="5"/>
  <c r="K41" i="5"/>
  <c r="R40" i="5"/>
  <c r="K40" i="5"/>
  <c r="R39" i="5"/>
  <c r="K39" i="5"/>
  <c r="R38" i="5"/>
  <c r="K38" i="5"/>
  <c r="R37" i="5"/>
  <c r="K37" i="5"/>
  <c r="R36" i="5"/>
  <c r="K36" i="5"/>
  <c r="R35" i="5"/>
  <c r="K35" i="5"/>
  <c r="R34" i="5"/>
  <c r="K34" i="5"/>
  <c r="R33" i="5"/>
  <c r="K33" i="5"/>
  <c r="R32" i="5"/>
  <c r="K32" i="5"/>
  <c r="R31" i="5"/>
  <c r="K31" i="5"/>
  <c r="R30" i="5"/>
  <c r="K30" i="5"/>
  <c r="R29" i="5"/>
  <c r="K29" i="5"/>
  <c r="R28" i="5"/>
  <c r="K28" i="5"/>
  <c r="R27" i="5"/>
  <c r="K27" i="5"/>
  <c r="R26" i="5"/>
  <c r="K26" i="5"/>
  <c r="R25" i="5"/>
  <c r="K25" i="5"/>
  <c r="R24" i="5"/>
  <c r="K24" i="5"/>
  <c r="R23" i="5"/>
  <c r="K23" i="5"/>
  <c r="R22" i="5"/>
  <c r="K22" i="5"/>
  <c r="R21" i="5"/>
  <c r="K21" i="5"/>
  <c r="R20" i="5"/>
  <c r="K20" i="5"/>
  <c r="R19" i="5"/>
  <c r="K19" i="5"/>
  <c r="R18" i="5"/>
  <c r="K18" i="5"/>
  <c r="R17" i="5"/>
  <c r="K17" i="5"/>
  <c r="R16" i="5"/>
  <c r="K16" i="5"/>
  <c r="R15" i="5"/>
  <c r="K15" i="5"/>
  <c r="R14" i="5"/>
  <c r="K14" i="5"/>
  <c r="R13" i="5"/>
  <c r="K13" i="5"/>
  <c r="R12" i="5"/>
  <c r="K12" i="5"/>
  <c r="R11" i="5"/>
  <c r="K11" i="5"/>
  <c r="R10" i="5"/>
  <c r="K10" i="5"/>
  <c r="R9" i="5"/>
  <c r="K9" i="5"/>
  <c r="R8" i="5"/>
  <c r="K8" i="5"/>
  <c r="R7" i="5"/>
  <c r="K7" i="5"/>
  <c r="R6" i="5"/>
  <c r="K6" i="5"/>
  <c r="U7" i="5" l="1"/>
  <c r="X7" i="5"/>
  <c r="U9" i="5"/>
  <c r="X9" i="5"/>
  <c r="U13" i="5"/>
  <c r="X13" i="5"/>
  <c r="U15" i="5"/>
  <c r="X15" i="5"/>
  <c r="U19" i="5"/>
  <c r="X19" i="5"/>
  <c r="U21" i="5"/>
  <c r="X21" i="5"/>
  <c r="U25" i="5"/>
  <c r="X25" i="5"/>
  <c r="U27" i="5"/>
  <c r="X27" i="5"/>
  <c r="U31" i="5"/>
  <c r="X31" i="5"/>
  <c r="U6" i="5"/>
  <c r="X6" i="5"/>
  <c r="U8" i="5"/>
  <c r="X8" i="5"/>
  <c r="U10" i="5"/>
  <c r="X10" i="5"/>
  <c r="U12" i="5"/>
  <c r="X12" i="5"/>
  <c r="U14" i="5"/>
  <c r="X14" i="5"/>
  <c r="U16" i="5"/>
  <c r="X16" i="5"/>
  <c r="U18" i="5"/>
  <c r="X18" i="5"/>
  <c r="U20" i="5"/>
  <c r="X20" i="5"/>
  <c r="U22" i="5"/>
  <c r="X22" i="5"/>
  <c r="U24" i="5"/>
  <c r="X24" i="5"/>
  <c r="U26" i="5"/>
  <c r="X26" i="5"/>
  <c r="U28" i="5"/>
  <c r="X28" i="5"/>
  <c r="U30" i="5"/>
  <c r="Y30" i="5" s="1"/>
  <c r="BK30" i="5" s="1"/>
  <c r="X30" i="5"/>
  <c r="U32" i="5"/>
  <c r="V32" i="5" s="1"/>
  <c r="Z32" i="5" s="1"/>
  <c r="BL32" i="5" s="1"/>
  <c r="X32" i="5"/>
  <c r="U34" i="5"/>
  <c r="X34" i="5"/>
  <c r="U36" i="5"/>
  <c r="X36" i="5"/>
  <c r="U38" i="5"/>
  <c r="X38" i="5"/>
  <c r="U40" i="5"/>
  <c r="X40" i="5"/>
  <c r="U42" i="5"/>
  <c r="X42" i="5"/>
  <c r="U44" i="5"/>
  <c r="X44" i="5"/>
  <c r="U46" i="5"/>
  <c r="X46" i="5"/>
  <c r="U48" i="5"/>
  <c r="X48" i="5"/>
  <c r="U50" i="5"/>
  <c r="X50" i="5"/>
  <c r="U52" i="5"/>
  <c r="X52" i="5"/>
  <c r="U54" i="5"/>
  <c r="X54" i="5"/>
  <c r="U56" i="5"/>
  <c r="X56" i="5"/>
  <c r="U58" i="5"/>
  <c r="Y58" i="5" s="1"/>
  <c r="BK58" i="5" s="1"/>
  <c r="X58" i="5"/>
  <c r="U60" i="5"/>
  <c r="X60" i="5"/>
  <c r="U62" i="5"/>
  <c r="X62" i="5"/>
  <c r="U64" i="5"/>
  <c r="X64" i="5"/>
  <c r="U66" i="5"/>
  <c r="X66" i="5"/>
  <c r="U68" i="5"/>
  <c r="X68" i="5"/>
  <c r="U70" i="5"/>
  <c r="X70" i="5"/>
  <c r="U72" i="5"/>
  <c r="X72" i="5"/>
  <c r="U74" i="5"/>
  <c r="X74" i="5"/>
  <c r="U76" i="5"/>
  <c r="X76" i="5"/>
  <c r="U11" i="5"/>
  <c r="X11" i="5"/>
  <c r="U17" i="5"/>
  <c r="X17" i="5"/>
  <c r="U23" i="5"/>
  <c r="X23" i="5"/>
  <c r="U29" i="5"/>
  <c r="X29" i="5"/>
  <c r="U33" i="5"/>
  <c r="X33" i="5"/>
  <c r="U35" i="5"/>
  <c r="X35" i="5"/>
  <c r="U37" i="5"/>
  <c r="X37" i="5"/>
  <c r="U39" i="5"/>
  <c r="X39" i="5"/>
  <c r="U41" i="5"/>
  <c r="X41" i="5"/>
  <c r="U43" i="5"/>
  <c r="X43" i="5"/>
  <c r="U45" i="5"/>
  <c r="X45" i="5"/>
  <c r="U47" i="5"/>
  <c r="X47" i="5"/>
  <c r="U49" i="5"/>
  <c r="X49" i="5"/>
  <c r="U51" i="5"/>
  <c r="X51" i="5"/>
  <c r="U53" i="5"/>
  <c r="X53" i="5"/>
  <c r="U55" i="5"/>
  <c r="X55" i="5"/>
  <c r="U57" i="5"/>
  <c r="X57" i="5"/>
  <c r="U59" i="5"/>
  <c r="X59" i="5"/>
  <c r="U61" i="5"/>
  <c r="X61" i="5"/>
  <c r="U63" i="5"/>
  <c r="X63" i="5"/>
  <c r="U65" i="5"/>
  <c r="X65" i="5"/>
  <c r="U67" i="5"/>
  <c r="X67" i="5"/>
  <c r="U69" i="5"/>
  <c r="X69" i="5"/>
  <c r="U71" i="5"/>
  <c r="X71" i="5"/>
  <c r="U73" i="5"/>
  <c r="X73" i="5"/>
  <c r="U75" i="5"/>
  <c r="X75" i="5"/>
  <c r="U77" i="5"/>
  <c r="X77" i="5"/>
  <c r="D8" i="5"/>
  <c r="W8" i="5" s="1"/>
  <c r="BJ8" i="5" s="1"/>
  <c r="D14" i="5"/>
  <c r="W14" i="5" s="1"/>
  <c r="BJ14" i="5" s="1"/>
  <c r="D34" i="5"/>
  <c r="W34" i="5" s="1"/>
  <c r="BJ34" i="5" s="1"/>
  <c r="D53" i="5"/>
  <c r="W53" i="5" s="1"/>
  <c r="BJ53" i="5" s="1"/>
  <c r="D68" i="5"/>
  <c r="W68" i="5" s="1"/>
  <c r="BJ68" i="5" s="1"/>
  <c r="D19" i="5"/>
  <c r="W19" i="5" s="1"/>
  <c r="BJ19" i="5" s="1"/>
  <c r="D21" i="5"/>
  <c r="W21" i="5" s="1"/>
  <c r="BJ21" i="5" s="1"/>
  <c r="D23" i="5"/>
  <c r="W23" i="5" s="1"/>
  <c r="BJ23" i="5" s="1"/>
  <c r="D25" i="5"/>
  <c r="W25" i="5" s="1"/>
  <c r="BJ25" i="5" s="1"/>
  <c r="D27" i="5"/>
  <c r="W27" i="5" s="1"/>
  <c r="BJ27" i="5" s="1"/>
  <c r="D29" i="5"/>
  <c r="W29" i="5" s="1"/>
  <c r="BJ29" i="5" s="1"/>
  <c r="D45" i="5"/>
  <c r="W45" i="5" s="1"/>
  <c r="BJ45" i="5" s="1"/>
  <c r="D47" i="5"/>
  <c r="W47" i="5" s="1"/>
  <c r="BJ47" i="5" s="1"/>
  <c r="D49" i="5"/>
  <c r="W49" i="5" s="1"/>
  <c r="BJ49" i="5" s="1"/>
  <c r="D55" i="5"/>
  <c r="W55" i="5" s="1"/>
  <c r="BJ55" i="5" s="1"/>
  <c r="D57" i="5"/>
  <c r="W57" i="5" s="1"/>
  <c r="BJ57" i="5" s="1"/>
  <c r="D59" i="5"/>
  <c r="W59" i="5" s="1"/>
  <c r="BJ59" i="5" s="1"/>
  <c r="D61" i="5"/>
  <c r="W61" i="5" s="1"/>
  <c r="BJ61" i="5" s="1"/>
  <c r="D63" i="5"/>
  <c r="W63" i="5" s="1"/>
  <c r="BJ63" i="5" s="1"/>
  <c r="D65" i="5"/>
  <c r="W65" i="5" s="1"/>
  <c r="BJ65" i="5" s="1"/>
  <c r="D73" i="5"/>
  <c r="W73" i="5" s="1"/>
  <c r="BJ73" i="5" s="1"/>
  <c r="D75" i="5"/>
  <c r="W75" i="5" s="1"/>
  <c r="BJ75" i="5" s="1"/>
  <c r="D77" i="5"/>
  <c r="W77" i="5" s="1"/>
  <c r="BJ77" i="5" s="1"/>
  <c r="D10" i="5"/>
  <c r="W10" i="5" s="1"/>
  <c r="BJ10" i="5" s="1"/>
  <c r="D32" i="5"/>
  <c r="W32" i="5" s="1"/>
  <c r="BJ32" i="5" s="1"/>
  <c r="D40" i="5"/>
  <c r="W40" i="5" s="1"/>
  <c r="BJ40" i="5" s="1"/>
  <c r="D70" i="5"/>
  <c r="W70" i="5" s="1"/>
  <c r="BJ70" i="5" s="1"/>
  <c r="D20" i="5"/>
  <c r="W20" i="5" s="1"/>
  <c r="BJ20" i="5" s="1"/>
  <c r="D24" i="5"/>
  <c r="W24" i="5" s="1"/>
  <c r="BJ24" i="5" s="1"/>
  <c r="D28" i="5"/>
  <c r="W28" i="5" s="1"/>
  <c r="BJ28" i="5" s="1"/>
  <c r="D44" i="5"/>
  <c r="W44" i="5" s="1"/>
  <c r="BJ44" i="5" s="1"/>
  <c r="D46" i="5"/>
  <c r="W46" i="5" s="1"/>
  <c r="BJ46" i="5" s="1"/>
  <c r="D48" i="5"/>
  <c r="W48" i="5" s="1"/>
  <c r="BJ48" i="5" s="1"/>
  <c r="D50" i="5"/>
  <c r="W50" i="5" s="1"/>
  <c r="BJ50" i="5" s="1"/>
  <c r="D54" i="5"/>
  <c r="W54" i="5" s="1"/>
  <c r="BJ54" i="5" s="1"/>
  <c r="D56" i="5"/>
  <c r="W56" i="5" s="1"/>
  <c r="BJ56" i="5" s="1"/>
  <c r="D58" i="5"/>
  <c r="W58" i="5" s="1"/>
  <c r="BJ58" i="5" s="1"/>
  <c r="D60" i="5"/>
  <c r="W60" i="5" s="1"/>
  <c r="BJ60" i="5" s="1"/>
  <c r="D62" i="5"/>
  <c r="W62" i="5" s="1"/>
  <c r="BJ62" i="5" s="1"/>
  <c r="D64" i="5"/>
  <c r="W64" i="5" s="1"/>
  <c r="BJ64" i="5" s="1"/>
  <c r="D72" i="5"/>
  <c r="W72" i="5" s="1"/>
  <c r="BJ72" i="5" s="1"/>
  <c r="D74" i="5"/>
  <c r="W74" i="5" s="1"/>
  <c r="BJ74" i="5" s="1"/>
  <c r="D76" i="5"/>
  <c r="W76" i="5" s="1"/>
  <c r="BJ76" i="5" s="1"/>
  <c r="D6" i="5"/>
  <c r="W6" i="5" s="1"/>
  <c r="L6" i="3" s="1"/>
  <c r="D12" i="5"/>
  <c r="W12" i="5" s="1"/>
  <c r="BJ12" i="5" s="1"/>
  <c r="D16" i="5"/>
  <c r="W16" i="5" s="1"/>
  <c r="BJ16" i="5" s="1"/>
  <c r="D30" i="5"/>
  <c r="W30" i="5" s="1"/>
  <c r="BJ30" i="5" s="1"/>
  <c r="D36" i="5"/>
  <c r="W36" i="5" s="1"/>
  <c r="BJ36" i="5" s="1"/>
  <c r="D38" i="5"/>
  <c r="W38" i="5" s="1"/>
  <c r="BJ38" i="5" s="1"/>
  <c r="D66" i="5"/>
  <c r="W66" i="5" s="1"/>
  <c r="BJ66" i="5" s="1"/>
  <c r="D18" i="5"/>
  <c r="W18" i="5" s="1"/>
  <c r="BJ18" i="5" s="1"/>
  <c r="D22" i="5"/>
  <c r="W22" i="5" s="1"/>
  <c r="BJ22" i="5" s="1"/>
  <c r="D26" i="5"/>
  <c r="W26" i="5" s="1"/>
  <c r="BJ26" i="5" s="1"/>
  <c r="D7" i="5"/>
  <c r="W7" i="5" s="1"/>
  <c r="BJ7" i="5" s="1"/>
  <c r="D9" i="5"/>
  <c r="W9" i="5" s="1"/>
  <c r="BJ9" i="5" s="1"/>
  <c r="D11" i="5"/>
  <c r="W11" i="5" s="1"/>
  <c r="BJ11" i="5" s="1"/>
  <c r="D13" i="5"/>
  <c r="W13" i="5" s="1"/>
  <c r="BJ13" i="5" s="1"/>
  <c r="D15" i="5"/>
  <c r="W15" i="5" s="1"/>
  <c r="BJ15" i="5" s="1"/>
  <c r="D17" i="5"/>
  <c r="W17" i="5" s="1"/>
  <c r="BJ17" i="5" s="1"/>
  <c r="D31" i="5"/>
  <c r="W31" i="5" s="1"/>
  <c r="BJ31" i="5" s="1"/>
  <c r="D33" i="5"/>
  <c r="W33" i="5" s="1"/>
  <c r="BJ33" i="5" s="1"/>
  <c r="D35" i="5"/>
  <c r="W35" i="5" s="1"/>
  <c r="BJ35" i="5" s="1"/>
  <c r="D37" i="5"/>
  <c r="W37" i="5" s="1"/>
  <c r="BJ37" i="5" s="1"/>
  <c r="D39" i="5"/>
  <c r="W39" i="5" s="1"/>
  <c r="BJ39" i="5" s="1"/>
  <c r="D41" i="5"/>
  <c r="W41" i="5" s="1"/>
  <c r="BJ41" i="5" s="1"/>
  <c r="D43" i="5"/>
  <c r="W43" i="5" s="1"/>
  <c r="BJ43" i="5" s="1"/>
  <c r="D52" i="5"/>
  <c r="W52" i="5" s="1"/>
  <c r="BJ52" i="5" s="1"/>
  <c r="D67" i="5"/>
  <c r="W67" i="5" s="1"/>
  <c r="BJ67" i="5" s="1"/>
  <c r="D69" i="5"/>
  <c r="W69" i="5" s="1"/>
  <c r="BJ69" i="5" s="1"/>
  <c r="D71" i="5"/>
  <c r="W71" i="5" s="1"/>
  <c r="BJ71" i="5" s="1"/>
  <c r="E32" i="5"/>
  <c r="E58" i="5"/>
  <c r="E16" i="5"/>
  <c r="E40" i="5"/>
  <c r="E56" i="5"/>
  <c r="E61" i="5"/>
  <c r="E7" i="5"/>
  <c r="E9" i="5"/>
  <c r="E11" i="5"/>
  <c r="E13" i="5"/>
  <c r="E17" i="5"/>
  <c r="E19" i="5"/>
  <c r="E22" i="5"/>
  <c r="E24" i="5"/>
  <c r="E26" i="5"/>
  <c r="E28" i="5"/>
  <c r="E34" i="5"/>
  <c r="E36" i="5"/>
  <c r="E38" i="5"/>
  <c r="E41" i="5"/>
  <c r="E43" i="5"/>
  <c r="E48" i="5"/>
  <c r="E50" i="5"/>
  <c r="E53" i="5"/>
  <c r="E59" i="5"/>
  <c r="E66" i="5"/>
  <c r="E71" i="5"/>
  <c r="E73" i="5"/>
  <c r="E42" i="5"/>
  <c r="E64" i="5"/>
  <c r="E68" i="5"/>
  <c r="E70" i="5"/>
  <c r="E75" i="5"/>
  <c r="E77" i="5"/>
  <c r="E12" i="5"/>
  <c r="E23" i="5"/>
  <c r="E33" i="5"/>
  <c r="E35" i="5"/>
  <c r="E37" i="5"/>
  <c r="E47" i="5"/>
  <c r="E49" i="5"/>
  <c r="E52" i="5"/>
  <c r="E60" i="5"/>
  <c r="E63" i="5"/>
  <c r="E67" i="5"/>
  <c r="E72" i="5"/>
  <c r="E31" i="5"/>
  <c r="E45" i="5"/>
  <c r="E54" i="5"/>
  <c r="E8" i="5"/>
  <c r="E10" i="5"/>
  <c r="E15" i="5"/>
  <c r="E18" i="5"/>
  <c r="E21" i="5"/>
  <c r="E25" i="5"/>
  <c r="E27" i="5"/>
  <c r="E29" i="5"/>
  <c r="E14" i="5"/>
  <c r="E20" i="5"/>
  <c r="E39" i="5"/>
  <c r="E44" i="5"/>
  <c r="E46" i="5"/>
  <c r="E51" i="5"/>
  <c r="E55" i="5"/>
  <c r="E57" i="5"/>
  <c r="E62" i="5"/>
  <c r="E65" i="5"/>
  <c r="E69" i="5"/>
  <c r="E74" i="5"/>
  <c r="E76" i="5"/>
  <c r="E6" i="5"/>
  <c r="D42" i="5"/>
  <c r="W42" i="5" s="1"/>
  <c r="BJ42" i="5" s="1"/>
  <c r="E30" i="5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G6" i="4"/>
  <c r="F6" i="4"/>
  <c r="E6" i="4"/>
  <c r="D6" i="4"/>
  <c r="C6" i="4"/>
  <c r="L5" i="1"/>
  <c r="N5" i="1" s="1"/>
  <c r="S5" i="1"/>
  <c r="U5" i="1" s="1"/>
  <c r="L6" i="1"/>
  <c r="N6" i="1" s="1"/>
  <c r="S6" i="1"/>
  <c r="U6" i="1" s="1"/>
  <c r="L7" i="1"/>
  <c r="N7" i="1" s="1"/>
  <c r="S7" i="1"/>
  <c r="U7" i="1" s="1"/>
  <c r="L8" i="1"/>
  <c r="N8" i="1" s="1"/>
  <c r="S8" i="1"/>
  <c r="U8" i="1" s="1"/>
  <c r="L9" i="1"/>
  <c r="N9" i="1" s="1"/>
  <c r="S9" i="1"/>
  <c r="U9" i="1" s="1"/>
  <c r="L10" i="1"/>
  <c r="S10" i="1"/>
  <c r="U10" i="1" s="1"/>
  <c r="L11" i="1"/>
  <c r="S11" i="1"/>
  <c r="U11" i="1" s="1"/>
  <c r="L12" i="1"/>
  <c r="S12" i="1"/>
  <c r="U12" i="1" s="1"/>
  <c r="L13" i="1"/>
  <c r="S13" i="1"/>
  <c r="U13" i="1" s="1"/>
  <c r="L14" i="1"/>
  <c r="R14" i="1"/>
  <c r="R17" i="1" s="1"/>
  <c r="S14" i="1"/>
  <c r="L15" i="1"/>
  <c r="N15" i="1" s="1"/>
  <c r="S15" i="1"/>
  <c r="U15" i="1" s="1"/>
  <c r="L16" i="1"/>
  <c r="N16" i="1" s="1"/>
  <c r="S16" i="1"/>
  <c r="U16" i="1" s="1"/>
  <c r="I17" i="1"/>
  <c r="J17" i="1"/>
  <c r="K17" i="1"/>
  <c r="M17" i="1"/>
  <c r="O17" i="1"/>
  <c r="P17" i="1"/>
  <c r="Q17" i="1"/>
  <c r="T17" i="1"/>
  <c r="L18" i="1"/>
  <c r="S18" i="1"/>
  <c r="U18" i="1" s="1"/>
  <c r="L19" i="1"/>
  <c r="S19" i="1"/>
  <c r="U19" i="1" s="1"/>
  <c r="L20" i="1"/>
  <c r="S20" i="1"/>
  <c r="U20" i="1" s="1"/>
  <c r="L21" i="1"/>
  <c r="S21" i="1"/>
  <c r="U21" i="1" s="1"/>
  <c r="L22" i="1"/>
  <c r="S22" i="1"/>
  <c r="U22" i="1" s="1"/>
  <c r="L23" i="1"/>
  <c r="S23" i="1"/>
  <c r="U23" i="1" s="1"/>
  <c r="L24" i="1"/>
  <c r="S24" i="1"/>
  <c r="U24" i="1" s="1"/>
  <c r="L25" i="1"/>
  <c r="S25" i="1"/>
  <c r="U25" i="1" s="1"/>
  <c r="L26" i="1"/>
  <c r="S26" i="1"/>
  <c r="U26" i="1" s="1"/>
  <c r="L27" i="1"/>
  <c r="S27" i="1"/>
  <c r="U27" i="1" s="1"/>
  <c r="L28" i="1"/>
  <c r="S28" i="1"/>
  <c r="U28" i="1" s="1"/>
  <c r="L29" i="1"/>
  <c r="S29" i="1"/>
  <c r="U29" i="1" s="1"/>
  <c r="I30" i="1"/>
  <c r="J30" i="1"/>
  <c r="K30" i="1"/>
  <c r="M30" i="1"/>
  <c r="O30" i="1"/>
  <c r="P30" i="1"/>
  <c r="Q30" i="1"/>
  <c r="R30" i="1"/>
  <c r="T30" i="1"/>
  <c r="L31" i="1"/>
  <c r="N31" i="1" s="1"/>
  <c r="S31" i="1"/>
  <c r="L32" i="1"/>
  <c r="S32" i="1"/>
  <c r="U32" i="1" s="1"/>
  <c r="L33" i="1"/>
  <c r="U33" i="1"/>
  <c r="L34" i="1"/>
  <c r="S34" i="1"/>
  <c r="U34" i="1" s="1"/>
  <c r="N35" i="1"/>
  <c r="S35" i="1"/>
  <c r="U35" i="1" s="1"/>
  <c r="L36" i="1"/>
  <c r="S36" i="1"/>
  <c r="U36" i="1" s="1"/>
  <c r="L37" i="1"/>
  <c r="N37" i="1" s="1"/>
  <c r="S37" i="1"/>
  <c r="U37" i="1" s="1"/>
  <c r="L38" i="1"/>
  <c r="S38" i="1"/>
  <c r="U38" i="1" s="1"/>
  <c r="L39" i="1"/>
  <c r="N39" i="1" s="1"/>
  <c r="S39" i="1"/>
  <c r="U39" i="1" s="1"/>
  <c r="L40" i="1"/>
  <c r="S40" i="1"/>
  <c r="U40" i="1" s="1"/>
  <c r="L41" i="1"/>
  <c r="N41" i="1" s="1"/>
  <c r="S41" i="1"/>
  <c r="U41" i="1" s="1"/>
  <c r="L42" i="1"/>
  <c r="S42" i="1"/>
  <c r="U42" i="1" s="1"/>
  <c r="I43" i="1"/>
  <c r="J43" i="1"/>
  <c r="K43" i="1"/>
  <c r="M43" i="1"/>
  <c r="O43" i="1"/>
  <c r="P43" i="1"/>
  <c r="Q43" i="1"/>
  <c r="R43" i="1"/>
  <c r="T43" i="1"/>
  <c r="L44" i="1"/>
  <c r="S44" i="1"/>
  <c r="L45" i="1"/>
  <c r="S45" i="1"/>
  <c r="U45" i="1" s="1"/>
  <c r="L46" i="1"/>
  <c r="N46" i="1" s="1"/>
  <c r="S46" i="1"/>
  <c r="L47" i="1"/>
  <c r="S47" i="1"/>
  <c r="U47" i="1" s="1"/>
  <c r="L48" i="1"/>
  <c r="N48" i="1" s="1"/>
  <c r="S48" i="1"/>
  <c r="L49" i="1"/>
  <c r="S49" i="1"/>
  <c r="U49" i="1" s="1"/>
  <c r="L50" i="1"/>
  <c r="N50" i="1" s="1"/>
  <c r="S50" i="1"/>
  <c r="L51" i="1"/>
  <c r="S51" i="1"/>
  <c r="U51" i="1" s="1"/>
  <c r="L52" i="1"/>
  <c r="N52" i="1" s="1"/>
  <c r="S52" i="1"/>
  <c r="L53" i="1"/>
  <c r="N53" i="1" s="1"/>
  <c r="S53" i="1"/>
  <c r="U53" i="1" s="1"/>
  <c r="L54" i="1"/>
  <c r="N54" i="1" s="1"/>
  <c r="S54" i="1"/>
  <c r="L55" i="1"/>
  <c r="S55" i="1"/>
  <c r="U55" i="1" s="1"/>
  <c r="I56" i="1"/>
  <c r="J56" i="1"/>
  <c r="K56" i="1"/>
  <c r="M56" i="1"/>
  <c r="O56" i="1"/>
  <c r="P56" i="1"/>
  <c r="Q56" i="1"/>
  <c r="R56" i="1"/>
  <c r="T56" i="1"/>
  <c r="L57" i="1"/>
  <c r="S57" i="1"/>
  <c r="L58" i="1"/>
  <c r="S58" i="1"/>
  <c r="U58" i="1" s="1"/>
  <c r="L59" i="1"/>
  <c r="N59" i="1" s="1"/>
  <c r="S59" i="1"/>
  <c r="L60" i="1"/>
  <c r="S60" i="1"/>
  <c r="U60" i="1" s="1"/>
  <c r="L61" i="1"/>
  <c r="N61" i="1" s="1"/>
  <c r="S61" i="1"/>
  <c r="L62" i="1"/>
  <c r="S62" i="1"/>
  <c r="U62" i="1" s="1"/>
  <c r="L63" i="1"/>
  <c r="N63" i="1" s="1"/>
  <c r="S63" i="1"/>
  <c r="L64" i="1"/>
  <c r="S64" i="1"/>
  <c r="U64" i="1" s="1"/>
  <c r="L65" i="1"/>
  <c r="N65" i="1" s="1"/>
  <c r="S65" i="1"/>
  <c r="L66" i="1"/>
  <c r="S66" i="1"/>
  <c r="U66" i="1" s="1"/>
  <c r="L67" i="1"/>
  <c r="N67" i="1" s="1"/>
  <c r="S67" i="1"/>
  <c r="L68" i="1"/>
  <c r="S68" i="1"/>
  <c r="I69" i="1"/>
  <c r="J69" i="1"/>
  <c r="K69" i="1"/>
  <c r="M69" i="1"/>
  <c r="O69" i="1"/>
  <c r="P69" i="1"/>
  <c r="Q69" i="1"/>
  <c r="R69" i="1"/>
  <c r="T69" i="1"/>
  <c r="L70" i="1"/>
  <c r="S70" i="1"/>
  <c r="L71" i="1"/>
  <c r="S71" i="1"/>
  <c r="U71" i="1" s="1"/>
  <c r="L72" i="1"/>
  <c r="S72" i="1"/>
  <c r="L73" i="1"/>
  <c r="S73" i="1"/>
  <c r="L74" i="1"/>
  <c r="S74" i="1"/>
  <c r="L75" i="1"/>
  <c r="S75" i="1"/>
  <c r="L76" i="1"/>
  <c r="S76" i="1"/>
  <c r="L77" i="1"/>
  <c r="S77" i="1"/>
  <c r="U77" i="1" s="1"/>
  <c r="L78" i="1"/>
  <c r="S78" i="1"/>
  <c r="L79" i="1"/>
  <c r="S79" i="1"/>
  <c r="L80" i="1"/>
  <c r="S80" i="1"/>
  <c r="L81" i="1"/>
  <c r="S81" i="1"/>
  <c r="U81" i="1" s="1"/>
  <c r="I82" i="1"/>
  <c r="J82" i="1"/>
  <c r="K82" i="1"/>
  <c r="M82" i="1"/>
  <c r="O82" i="1"/>
  <c r="P82" i="1"/>
  <c r="Q82" i="1"/>
  <c r="R82" i="1"/>
  <c r="T82" i="1"/>
  <c r="L83" i="1"/>
  <c r="S83" i="1"/>
  <c r="L84" i="1"/>
  <c r="S84" i="1"/>
  <c r="L85" i="1"/>
  <c r="S85" i="1"/>
  <c r="L86" i="1"/>
  <c r="S86" i="1"/>
  <c r="U86" i="1" s="1"/>
  <c r="L87" i="1"/>
  <c r="S87" i="1"/>
  <c r="L88" i="1"/>
  <c r="S88" i="1"/>
  <c r="L89" i="1"/>
  <c r="S89" i="1"/>
  <c r="L90" i="1"/>
  <c r="S90" i="1"/>
  <c r="U90" i="1" s="1"/>
  <c r="L91" i="1"/>
  <c r="S91" i="1"/>
  <c r="U91" i="1" s="1"/>
  <c r="L92" i="1"/>
  <c r="S92" i="1"/>
  <c r="L93" i="1"/>
  <c r="S93" i="1"/>
  <c r="L94" i="1"/>
  <c r="S94" i="1"/>
  <c r="U94" i="1" s="1"/>
  <c r="I95" i="1"/>
  <c r="J95" i="1"/>
  <c r="K95" i="1"/>
  <c r="M95" i="1"/>
  <c r="O95" i="1"/>
  <c r="P95" i="1"/>
  <c r="Q95" i="1"/>
  <c r="R95" i="1"/>
  <c r="T95" i="1"/>
  <c r="L96" i="1"/>
  <c r="S96" i="1"/>
  <c r="L97" i="1"/>
  <c r="S97" i="1"/>
  <c r="L98" i="1"/>
  <c r="S98" i="1"/>
  <c r="L99" i="1"/>
  <c r="S99" i="1"/>
  <c r="U99" i="1" s="1"/>
  <c r="L100" i="1"/>
  <c r="S100" i="1"/>
  <c r="L101" i="1"/>
  <c r="S101" i="1"/>
  <c r="L102" i="1"/>
  <c r="S102" i="1"/>
  <c r="L103" i="1"/>
  <c r="S103" i="1"/>
  <c r="U103" i="1" s="1"/>
  <c r="L104" i="1"/>
  <c r="S104" i="1"/>
  <c r="L105" i="1"/>
  <c r="S105" i="1"/>
  <c r="L106" i="1"/>
  <c r="S106" i="1"/>
  <c r="L107" i="1"/>
  <c r="S107" i="1"/>
  <c r="U107" i="1" s="1"/>
  <c r="I108" i="1"/>
  <c r="J108" i="1"/>
  <c r="K108" i="1"/>
  <c r="M108" i="1"/>
  <c r="O108" i="1"/>
  <c r="P108" i="1"/>
  <c r="Q108" i="1"/>
  <c r="R108" i="1"/>
  <c r="T108" i="1"/>
  <c r="L109" i="1"/>
  <c r="S109" i="1"/>
  <c r="L110" i="1"/>
  <c r="S110" i="1"/>
  <c r="L111" i="1"/>
  <c r="S111" i="1"/>
  <c r="L112" i="1"/>
  <c r="S112" i="1"/>
  <c r="U112" i="1" s="1"/>
  <c r="L113" i="1"/>
  <c r="S113" i="1"/>
  <c r="L114" i="1"/>
  <c r="N114" i="1" s="1"/>
  <c r="S114" i="1"/>
  <c r="L115" i="1"/>
  <c r="S115" i="1"/>
  <c r="L116" i="1"/>
  <c r="N116" i="1" s="1"/>
  <c r="S116" i="1"/>
  <c r="U116" i="1" s="1"/>
  <c r="N117" i="1"/>
  <c r="O117" i="1"/>
  <c r="U117" i="1"/>
  <c r="N118" i="1"/>
  <c r="O118" i="1"/>
  <c r="U118" i="1"/>
  <c r="N119" i="1"/>
  <c r="U119" i="1"/>
  <c r="N120" i="1"/>
  <c r="U120" i="1"/>
  <c r="I121" i="1"/>
  <c r="J121" i="1"/>
  <c r="K121" i="1"/>
  <c r="M121" i="1"/>
  <c r="P121" i="1"/>
  <c r="Q121" i="1"/>
  <c r="R121" i="1"/>
  <c r="T121" i="1"/>
  <c r="N122" i="1"/>
  <c r="U122" i="1"/>
  <c r="N123" i="1"/>
  <c r="U123" i="1"/>
  <c r="N124" i="1"/>
  <c r="U124" i="1"/>
  <c r="N125" i="1"/>
  <c r="U125" i="1"/>
  <c r="N126" i="1"/>
  <c r="U126" i="1"/>
  <c r="J11" i="4" s="1"/>
  <c r="N127" i="1"/>
  <c r="U127" i="1"/>
  <c r="N128" i="1"/>
  <c r="U128" i="1"/>
  <c r="N129" i="1"/>
  <c r="U129" i="1"/>
  <c r="N130" i="1"/>
  <c r="U130" i="1"/>
  <c r="N131" i="1"/>
  <c r="U131" i="1"/>
  <c r="N132" i="1"/>
  <c r="G17" i="4" s="1"/>
  <c r="U132" i="1"/>
  <c r="N133" i="1"/>
  <c r="U133" i="1"/>
  <c r="I134" i="1"/>
  <c r="J134" i="1"/>
  <c r="K134" i="1"/>
  <c r="L134" i="1"/>
  <c r="M134" i="1"/>
  <c r="O134" i="1"/>
  <c r="P134" i="1"/>
  <c r="Q134" i="1"/>
  <c r="R134" i="1"/>
  <c r="S134" i="1"/>
  <c r="T134" i="1"/>
  <c r="N135" i="1"/>
  <c r="U135" i="1"/>
  <c r="N136" i="1"/>
  <c r="U136" i="1"/>
  <c r="N137" i="1"/>
  <c r="U137" i="1"/>
  <c r="N138" i="1"/>
  <c r="U138" i="1"/>
  <c r="N139" i="1"/>
  <c r="U139" i="1"/>
  <c r="N140" i="1"/>
  <c r="U140" i="1"/>
  <c r="N141" i="1"/>
  <c r="U141" i="1"/>
  <c r="N142" i="1"/>
  <c r="U142" i="1"/>
  <c r="N143" i="1"/>
  <c r="U143" i="1"/>
  <c r="N144" i="1"/>
  <c r="E28" i="4" s="1"/>
  <c r="U144" i="1"/>
  <c r="N145" i="1"/>
  <c r="U145" i="1"/>
  <c r="N146" i="1"/>
  <c r="U146" i="1"/>
  <c r="I147" i="1"/>
  <c r="J147" i="1"/>
  <c r="K147" i="1"/>
  <c r="L147" i="1"/>
  <c r="M147" i="1"/>
  <c r="O147" i="1"/>
  <c r="P147" i="1"/>
  <c r="Q147" i="1"/>
  <c r="R147" i="1"/>
  <c r="S147" i="1"/>
  <c r="T147" i="1"/>
  <c r="N148" i="1"/>
  <c r="U148" i="1"/>
  <c r="N149" i="1"/>
  <c r="U149" i="1"/>
  <c r="N150" i="1"/>
  <c r="U150" i="1"/>
  <c r="N151" i="1"/>
  <c r="U151" i="1"/>
  <c r="N152" i="1"/>
  <c r="U152" i="1"/>
  <c r="N153" i="1"/>
  <c r="U153" i="1"/>
  <c r="N154" i="1"/>
  <c r="U154" i="1"/>
  <c r="I37" i="4" s="1"/>
  <c r="N155" i="1"/>
  <c r="U155" i="1"/>
  <c r="N156" i="1"/>
  <c r="U156" i="1"/>
  <c r="N157" i="1"/>
  <c r="U157" i="1"/>
  <c r="N158" i="1"/>
  <c r="D41" i="4" s="1"/>
  <c r="U158" i="1"/>
  <c r="N159" i="1"/>
  <c r="U159" i="1"/>
  <c r="I160" i="1"/>
  <c r="J160" i="1"/>
  <c r="K160" i="1"/>
  <c r="L160" i="1"/>
  <c r="M160" i="1"/>
  <c r="O160" i="1"/>
  <c r="P160" i="1"/>
  <c r="Q160" i="1"/>
  <c r="R160" i="1"/>
  <c r="S160" i="1"/>
  <c r="T160" i="1"/>
  <c r="N161" i="1"/>
  <c r="U161" i="1"/>
  <c r="N162" i="1"/>
  <c r="U162" i="1"/>
  <c r="N163" i="1"/>
  <c r="U163" i="1"/>
  <c r="N164" i="1"/>
  <c r="U164" i="1"/>
  <c r="N165" i="1"/>
  <c r="U165" i="1"/>
  <c r="N166" i="1"/>
  <c r="U166" i="1"/>
  <c r="N167" i="1"/>
  <c r="U167" i="1"/>
  <c r="N168" i="1"/>
  <c r="U168" i="1"/>
  <c r="N169" i="1"/>
  <c r="U169" i="1"/>
  <c r="N170" i="1"/>
  <c r="U170" i="1"/>
  <c r="N171" i="1"/>
  <c r="U171" i="1"/>
  <c r="N172" i="1"/>
  <c r="U172" i="1"/>
  <c r="I173" i="1"/>
  <c r="J173" i="1"/>
  <c r="K173" i="1"/>
  <c r="L173" i="1"/>
  <c r="M173" i="1"/>
  <c r="O173" i="1"/>
  <c r="P173" i="1"/>
  <c r="Q173" i="1"/>
  <c r="R173" i="1"/>
  <c r="S173" i="1"/>
  <c r="T173" i="1"/>
  <c r="N174" i="1"/>
  <c r="U174" i="1"/>
  <c r="N175" i="1"/>
  <c r="U175" i="1"/>
  <c r="N176" i="1"/>
  <c r="U176" i="1"/>
  <c r="I57" i="4" s="1"/>
  <c r="N177" i="1"/>
  <c r="U177" i="1"/>
  <c r="N178" i="1"/>
  <c r="U178" i="1"/>
  <c r="N179" i="1"/>
  <c r="U179" i="1"/>
  <c r="N180" i="1"/>
  <c r="U180" i="1"/>
  <c r="N181" i="1"/>
  <c r="U181" i="1"/>
  <c r="N182" i="1"/>
  <c r="U182" i="1"/>
  <c r="N183" i="1"/>
  <c r="U183" i="1"/>
  <c r="N184" i="1"/>
  <c r="U184" i="1"/>
  <c r="N185" i="1"/>
  <c r="U185" i="1"/>
  <c r="I186" i="1"/>
  <c r="J186" i="1"/>
  <c r="K186" i="1"/>
  <c r="L186" i="1"/>
  <c r="M186" i="1"/>
  <c r="O186" i="1"/>
  <c r="P186" i="1"/>
  <c r="Q186" i="1"/>
  <c r="R186" i="1"/>
  <c r="S186" i="1"/>
  <c r="T186" i="1"/>
  <c r="N187" i="1"/>
  <c r="U187" i="1"/>
  <c r="N188" i="1"/>
  <c r="U188" i="1"/>
  <c r="N189" i="1"/>
  <c r="U189" i="1"/>
  <c r="N190" i="1"/>
  <c r="U190" i="1"/>
  <c r="N191" i="1"/>
  <c r="U191" i="1"/>
  <c r="N192" i="1"/>
  <c r="U192" i="1"/>
  <c r="N193" i="1"/>
  <c r="U193" i="1"/>
  <c r="N194" i="1"/>
  <c r="U194" i="1"/>
  <c r="N195" i="1"/>
  <c r="U195" i="1"/>
  <c r="N196" i="1"/>
  <c r="U196" i="1"/>
  <c r="N197" i="1"/>
  <c r="U197" i="1"/>
  <c r="N198" i="1"/>
  <c r="U198" i="1"/>
  <c r="H78" i="4" s="1"/>
  <c r="I199" i="1"/>
  <c r="J199" i="1"/>
  <c r="K199" i="1"/>
  <c r="L199" i="1"/>
  <c r="M199" i="1"/>
  <c r="O199" i="1"/>
  <c r="P199" i="1"/>
  <c r="Q199" i="1"/>
  <c r="R199" i="1"/>
  <c r="S199" i="1"/>
  <c r="T199" i="1"/>
  <c r="F83" i="3"/>
  <c r="E83" i="3"/>
  <c r="D83" i="3"/>
  <c r="C83" i="3"/>
  <c r="F70" i="3"/>
  <c r="E70" i="3"/>
  <c r="D70" i="3"/>
  <c r="C70" i="3"/>
  <c r="F57" i="3"/>
  <c r="E57" i="3"/>
  <c r="D57" i="3"/>
  <c r="C57" i="3"/>
  <c r="F44" i="3"/>
  <c r="E44" i="3"/>
  <c r="D44" i="3"/>
  <c r="C44" i="3"/>
  <c r="F31" i="3"/>
  <c r="E31" i="3"/>
  <c r="D31" i="3"/>
  <c r="C31" i="3"/>
  <c r="F18" i="3"/>
  <c r="E18" i="3"/>
  <c r="D18" i="3"/>
  <c r="C18" i="3"/>
  <c r="V58" i="5" l="1"/>
  <c r="Z58" i="5" s="1"/>
  <c r="BL58" i="5" s="1"/>
  <c r="V30" i="5"/>
  <c r="Z30" i="5" s="1"/>
  <c r="BL30" i="5" s="1"/>
  <c r="Y32" i="5"/>
  <c r="BK32" i="5" s="1"/>
  <c r="X78" i="5"/>
  <c r="L18" i="3"/>
  <c r="N6" i="3"/>
  <c r="BJ6" i="5"/>
  <c r="W78" i="5"/>
  <c r="G83" i="3"/>
  <c r="G18" i="3"/>
  <c r="G44" i="3"/>
  <c r="G70" i="3"/>
  <c r="G31" i="3"/>
  <c r="G57" i="3"/>
  <c r="V76" i="5"/>
  <c r="Z76" i="5" s="1"/>
  <c r="BL76" i="5" s="1"/>
  <c r="Y76" i="5"/>
  <c r="BK76" i="5" s="1"/>
  <c r="V69" i="5"/>
  <c r="Z69" i="5" s="1"/>
  <c r="BL69" i="5" s="1"/>
  <c r="Y69" i="5"/>
  <c r="BK69" i="5" s="1"/>
  <c r="V62" i="5"/>
  <c r="Z62" i="5" s="1"/>
  <c r="BL62" i="5" s="1"/>
  <c r="Y62" i="5"/>
  <c r="V55" i="5"/>
  <c r="Z55" i="5" s="1"/>
  <c r="BL55" i="5" s="1"/>
  <c r="Y55" i="5"/>
  <c r="V46" i="5"/>
  <c r="Z46" i="5" s="1"/>
  <c r="BL46" i="5" s="1"/>
  <c r="Y46" i="5"/>
  <c r="V39" i="5"/>
  <c r="Z39" i="5" s="1"/>
  <c r="BL39" i="5" s="1"/>
  <c r="Y39" i="5"/>
  <c r="V14" i="5"/>
  <c r="Z14" i="5" s="1"/>
  <c r="BL14" i="5" s="1"/>
  <c r="Y14" i="5"/>
  <c r="BK14" i="5" s="1"/>
  <c r="V27" i="5"/>
  <c r="Z27" i="5" s="1"/>
  <c r="BL27" i="5" s="1"/>
  <c r="Y27" i="5"/>
  <c r="V21" i="5"/>
  <c r="Z21" i="5" s="1"/>
  <c r="BL21" i="5" s="1"/>
  <c r="Y21" i="5"/>
  <c r="BK21" i="5" s="1"/>
  <c r="V15" i="5"/>
  <c r="Z15" i="5" s="1"/>
  <c r="BL15" i="5" s="1"/>
  <c r="Y15" i="5"/>
  <c r="V8" i="5"/>
  <c r="Z8" i="5" s="1"/>
  <c r="BL8" i="5" s="1"/>
  <c r="Y8" i="5"/>
  <c r="BK8" i="5" s="1"/>
  <c r="V45" i="5"/>
  <c r="Z45" i="5" s="1"/>
  <c r="BL45" i="5" s="1"/>
  <c r="Y45" i="5"/>
  <c r="V72" i="5"/>
  <c r="Z72" i="5" s="1"/>
  <c r="BL72" i="5" s="1"/>
  <c r="Y72" i="5"/>
  <c r="V63" i="5"/>
  <c r="Z63" i="5" s="1"/>
  <c r="BL63" i="5" s="1"/>
  <c r="Y63" i="5"/>
  <c r="V52" i="5"/>
  <c r="Z52" i="5" s="1"/>
  <c r="BL52" i="5" s="1"/>
  <c r="Y52" i="5"/>
  <c r="BK52" i="5" s="1"/>
  <c r="V47" i="5"/>
  <c r="Z47" i="5" s="1"/>
  <c r="BL47" i="5" s="1"/>
  <c r="Y47" i="5"/>
  <c r="V35" i="5"/>
  <c r="Z35" i="5" s="1"/>
  <c r="BL35" i="5" s="1"/>
  <c r="Y35" i="5"/>
  <c r="BK35" i="5" s="1"/>
  <c r="V23" i="5"/>
  <c r="Z23" i="5" s="1"/>
  <c r="BL23" i="5" s="1"/>
  <c r="Y23" i="5"/>
  <c r="V6" i="5"/>
  <c r="Z6" i="5" s="1"/>
  <c r="Y6" i="5"/>
  <c r="BK6" i="5" s="1"/>
  <c r="V77" i="5"/>
  <c r="Z77" i="5" s="1"/>
  <c r="BL77" i="5" s="1"/>
  <c r="Y77" i="5"/>
  <c r="V70" i="5"/>
  <c r="Z70" i="5" s="1"/>
  <c r="BL70" i="5" s="1"/>
  <c r="Y70" i="5"/>
  <c r="V64" i="5"/>
  <c r="Z64" i="5" s="1"/>
  <c r="BL64" i="5" s="1"/>
  <c r="Y64" i="5"/>
  <c r="BK64" i="5" s="1"/>
  <c r="V73" i="5"/>
  <c r="Z73" i="5" s="1"/>
  <c r="BL73" i="5" s="1"/>
  <c r="Y73" i="5"/>
  <c r="BK73" i="5" s="1"/>
  <c r="V66" i="5"/>
  <c r="Z66" i="5" s="1"/>
  <c r="BL66" i="5" s="1"/>
  <c r="Y66" i="5"/>
  <c r="V53" i="5"/>
  <c r="Z53" i="5" s="1"/>
  <c r="BL53" i="5" s="1"/>
  <c r="Y53" i="5"/>
  <c r="V48" i="5"/>
  <c r="Z48" i="5" s="1"/>
  <c r="BL48" i="5" s="1"/>
  <c r="Y48" i="5"/>
  <c r="BK48" i="5" s="1"/>
  <c r="V41" i="5"/>
  <c r="Z41" i="5" s="1"/>
  <c r="BL41" i="5" s="1"/>
  <c r="Y41" i="5"/>
  <c r="V36" i="5"/>
  <c r="Z36" i="5" s="1"/>
  <c r="BL36" i="5" s="1"/>
  <c r="Y36" i="5"/>
  <c r="V28" i="5"/>
  <c r="Z28" i="5" s="1"/>
  <c r="BL28" i="5" s="1"/>
  <c r="Y28" i="5"/>
  <c r="BK28" i="5" s="1"/>
  <c r="V24" i="5"/>
  <c r="Z24" i="5" s="1"/>
  <c r="BL24" i="5" s="1"/>
  <c r="Y24" i="5"/>
  <c r="V19" i="5"/>
  <c r="Z19" i="5" s="1"/>
  <c r="BL19" i="5" s="1"/>
  <c r="Y19" i="5"/>
  <c r="BK19" i="5" s="1"/>
  <c r="V13" i="5"/>
  <c r="Z13" i="5" s="1"/>
  <c r="BL13" i="5" s="1"/>
  <c r="Y13" i="5"/>
  <c r="V9" i="5"/>
  <c r="Z9" i="5" s="1"/>
  <c r="BL9" i="5" s="1"/>
  <c r="Y9" i="5"/>
  <c r="BK9" i="5" s="1"/>
  <c r="V61" i="5"/>
  <c r="Z61" i="5" s="1"/>
  <c r="BL61" i="5" s="1"/>
  <c r="Y61" i="5"/>
  <c r="V40" i="5"/>
  <c r="Z40" i="5" s="1"/>
  <c r="BL40" i="5" s="1"/>
  <c r="Y40" i="5"/>
  <c r="BK40" i="5" s="1"/>
  <c r="V74" i="5"/>
  <c r="Z74" i="5" s="1"/>
  <c r="BL74" i="5" s="1"/>
  <c r="Y74" i="5"/>
  <c r="V65" i="5"/>
  <c r="Z65" i="5" s="1"/>
  <c r="BL65" i="5" s="1"/>
  <c r="Y65" i="5"/>
  <c r="V57" i="5"/>
  <c r="Z57" i="5" s="1"/>
  <c r="BL57" i="5" s="1"/>
  <c r="Y57" i="5"/>
  <c r="V51" i="5"/>
  <c r="Z51" i="5" s="1"/>
  <c r="BL51" i="5" s="1"/>
  <c r="Y51" i="5"/>
  <c r="V44" i="5"/>
  <c r="Z44" i="5" s="1"/>
  <c r="BL44" i="5" s="1"/>
  <c r="Y44" i="5"/>
  <c r="V20" i="5"/>
  <c r="Z20" i="5" s="1"/>
  <c r="BL20" i="5" s="1"/>
  <c r="Y20" i="5"/>
  <c r="BK20" i="5" s="1"/>
  <c r="V29" i="5"/>
  <c r="Z29" i="5" s="1"/>
  <c r="BL29" i="5" s="1"/>
  <c r="Y29" i="5"/>
  <c r="V25" i="5"/>
  <c r="Z25" i="5" s="1"/>
  <c r="BL25" i="5" s="1"/>
  <c r="Y25" i="5"/>
  <c r="V18" i="5"/>
  <c r="Z18" i="5" s="1"/>
  <c r="BL18" i="5" s="1"/>
  <c r="Y18" i="5"/>
  <c r="BK18" i="5" s="1"/>
  <c r="V10" i="5"/>
  <c r="Z10" i="5" s="1"/>
  <c r="BL10" i="5" s="1"/>
  <c r="Y10" i="5"/>
  <c r="BK10" i="5" s="1"/>
  <c r="V54" i="5"/>
  <c r="Z54" i="5" s="1"/>
  <c r="BL54" i="5" s="1"/>
  <c r="Y54" i="5"/>
  <c r="V31" i="5"/>
  <c r="Z31" i="5" s="1"/>
  <c r="BL31" i="5" s="1"/>
  <c r="Y31" i="5"/>
  <c r="BK31" i="5" s="1"/>
  <c r="V67" i="5"/>
  <c r="Z67" i="5" s="1"/>
  <c r="BL67" i="5" s="1"/>
  <c r="Y67" i="5"/>
  <c r="V60" i="5"/>
  <c r="Z60" i="5" s="1"/>
  <c r="BL60" i="5" s="1"/>
  <c r="Y60" i="5"/>
  <c r="BK60" i="5" s="1"/>
  <c r="V49" i="5"/>
  <c r="Z49" i="5" s="1"/>
  <c r="BL49" i="5" s="1"/>
  <c r="Y49" i="5"/>
  <c r="V37" i="5"/>
  <c r="Z37" i="5" s="1"/>
  <c r="BL37" i="5" s="1"/>
  <c r="Y37" i="5"/>
  <c r="BK37" i="5" s="1"/>
  <c r="V33" i="5"/>
  <c r="Z33" i="5" s="1"/>
  <c r="BL33" i="5" s="1"/>
  <c r="Y33" i="5"/>
  <c r="V12" i="5"/>
  <c r="Z12" i="5" s="1"/>
  <c r="BL12" i="5" s="1"/>
  <c r="Y12" i="5"/>
  <c r="BK12" i="5" s="1"/>
  <c r="AU32" i="5"/>
  <c r="AV32" i="5" s="1"/>
  <c r="V75" i="5"/>
  <c r="Z75" i="5" s="1"/>
  <c r="Y75" i="5"/>
  <c r="BK75" i="5" s="1"/>
  <c r="V68" i="5"/>
  <c r="Z68" i="5" s="1"/>
  <c r="BL68" i="5" s="1"/>
  <c r="Y68" i="5"/>
  <c r="BK68" i="5" s="1"/>
  <c r="V42" i="5"/>
  <c r="Z42" i="5" s="1"/>
  <c r="Y42" i="5"/>
  <c r="BK42" i="5" s="1"/>
  <c r="V71" i="5"/>
  <c r="Z71" i="5" s="1"/>
  <c r="BL71" i="5" s="1"/>
  <c r="Y71" i="5"/>
  <c r="BK71" i="5" s="1"/>
  <c r="V59" i="5"/>
  <c r="Z59" i="5" s="1"/>
  <c r="BL59" i="5" s="1"/>
  <c r="Y59" i="5"/>
  <c r="BK59" i="5" s="1"/>
  <c r="V50" i="5"/>
  <c r="Z50" i="5" s="1"/>
  <c r="BL50" i="5" s="1"/>
  <c r="Y50" i="5"/>
  <c r="BK50" i="5" s="1"/>
  <c r="V43" i="5"/>
  <c r="Z43" i="5" s="1"/>
  <c r="Y43" i="5"/>
  <c r="BK43" i="5" s="1"/>
  <c r="V38" i="5"/>
  <c r="Z38" i="5" s="1"/>
  <c r="BL38" i="5" s="1"/>
  <c r="Y38" i="5"/>
  <c r="V34" i="5"/>
  <c r="Z34" i="5" s="1"/>
  <c r="Y34" i="5"/>
  <c r="BK34" i="5" s="1"/>
  <c r="V26" i="5"/>
  <c r="Z26" i="5" s="1"/>
  <c r="BL26" i="5" s="1"/>
  <c r="Y26" i="5"/>
  <c r="BK26" i="5" s="1"/>
  <c r="V22" i="5"/>
  <c r="Z22" i="5" s="1"/>
  <c r="Y22" i="5"/>
  <c r="BK22" i="5" s="1"/>
  <c r="V17" i="5"/>
  <c r="Z17" i="5" s="1"/>
  <c r="BL17" i="5" s="1"/>
  <c r="Y17" i="5"/>
  <c r="BK17" i="5" s="1"/>
  <c r="V11" i="5"/>
  <c r="Z11" i="5" s="1"/>
  <c r="BL11" i="5" s="1"/>
  <c r="Y11" i="5"/>
  <c r="V7" i="5"/>
  <c r="Z7" i="5" s="1"/>
  <c r="BL7" i="5" s="1"/>
  <c r="Y7" i="5"/>
  <c r="BK7" i="5" s="1"/>
  <c r="V56" i="5"/>
  <c r="Z56" i="5" s="1"/>
  <c r="Y56" i="5"/>
  <c r="BK56" i="5" s="1"/>
  <c r="V16" i="5"/>
  <c r="Z16" i="5" s="1"/>
  <c r="BL16" i="5" s="1"/>
  <c r="Y16" i="5"/>
  <c r="BK16" i="5" s="1"/>
  <c r="S17" i="1"/>
  <c r="K75" i="4"/>
  <c r="J75" i="4"/>
  <c r="L75" i="4"/>
  <c r="H75" i="4"/>
  <c r="I75" i="4"/>
  <c r="K71" i="4"/>
  <c r="J71" i="4"/>
  <c r="L71" i="4"/>
  <c r="H71" i="4"/>
  <c r="I71" i="4"/>
  <c r="K67" i="4"/>
  <c r="J67" i="4"/>
  <c r="L67" i="4"/>
  <c r="H67" i="4"/>
  <c r="I67" i="4"/>
  <c r="G65" i="4"/>
  <c r="C65" i="4"/>
  <c r="F65" i="4"/>
  <c r="E65" i="4"/>
  <c r="D65" i="4"/>
  <c r="G61" i="4"/>
  <c r="C61" i="4"/>
  <c r="F61" i="4"/>
  <c r="E61" i="4"/>
  <c r="D61" i="4"/>
  <c r="G57" i="4"/>
  <c r="C57" i="4"/>
  <c r="F57" i="4"/>
  <c r="E57" i="4"/>
  <c r="D57" i="4"/>
  <c r="K52" i="4"/>
  <c r="I52" i="4"/>
  <c r="H52" i="4"/>
  <c r="L52" i="4"/>
  <c r="J52" i="4"/>
  <c r="K48" i="4"/>
  <c r="J48" i="4"/>
  <c r="L48" i="4"/>
  <c r="H48" i="4"/>
  <c r="I48" i="4"/>
  <c r="K44" i="4"/>
  <c r="J44" i="4"/>
  <c r="L44" i="4"/>
  <c r="H44" i="4"/>
  <c r="I44" i="4"/>
  <c r="G42" i="4"/>
  <c r="C42" i="4"/>
  <c r="F42" i="4"/>
  <c r="D42" i="4"/>
  <c r="E42" i="4"/>
  <c r="G38" i="4"/>
  <c r="C38" i="4"/>
  <c r="D38" i="4"/>
  <c r="F38" i="4"/>
  <c r="E38" i="4"/>
  <c r="D34" i="4"/>
  <c r="F34" i="4"/>
  <c r="G34" i="4"/>
  <c r="E34" i="4"/>
  <c r="C34" i="4"/>
  <c r="L25" i="4"/>
  <c r="H25" i="4"/>
  <c r="J25" i="4"/>
  <c r="K25" i="4"/>
  <c r="I25" i="4"/>
  <c r="L21" i="4"/>
  <c r="H21" i="4"/>
  <c r="J21" i="4"/>
  <c r="K21" i="4"/>
  <c r="I21" i="4"/>
  <c r="D15" i="4"/>
  <c r="F15" i="4"/>
  <c r="G15" i="4"/>
  <c r="C15" i="4"/>
  <c r="E15" i="4"/>
  <c r="D11" i="4"/>
  <c r="G11" i="4"/>
  <c r="F11" i="4"/>
  <c r="C11" i="4"/>
  <c r="E11" i="4"/>
  <c r="E7" i="4"/>
  <c r="D7" i="4"/>
  <c r="C7" i="4"/>
  <c r="G7" i="4"/>
  <c r="F7" i="4"/>
  <c r="U110" i="1"/>
  <c r="N106" i="1"/>
  <c r="N102" i="1"/>
  <c r="N98" i="1"/>
  <c r="N88" i="1"/>
  <c r="N84" i="1"/>
  <c r="U73" i="1"/>
  <c r="U67" i="1"/>
  <c r="U63" i="1"/>
  <c r="U59" i="1"/>
  <c r="N29" i="1"/>
  <c r="N25" i="1"/>
  <c r="N21" i="1"/>
  <c r="N13" i="1"/>
  <c r="N11" i="1"/>
  <c r="G77" i="4"/>
  <c r="C77" i="4"/>
  <c r="F77" i="4"/>
  <c r="E77" i="4"/>
  <c r="D77" i="4"/>
  <c r="G75" i="4"/>
  <c r="C75" i="4"/>
  <c r="F75" i="4"/>
  <c r="E75" i="4"/>
  <c r="D75" i="4"/>
  <c r="G71" i="4"/>
  <c r="C71" i="4"/>
  <c r="F71" i="4"/>
  <c r="E71" i="4"/>
  <c r="D71" i="4"/>
  <c r="G69" i="4"/>
  <c r="C69" i="4"/>
  <c r="F69" i="4"/>
  <c r="E69" i="4"/>
  <c r="D69" i="4"/>
  <c r="K64" i="4"/>
  <c r="I64" i="4"/>
  <c r="H64" i="4"/>
  <c r="L64" i="4"/>
  <c r="J64" i="4"/>
  <c r="K60" i="4"/>
  <c r="I60" i="4"/>
  <c r="H60" i="4"/>
  <c r="L60" i="4"/>
  <c r="J60" i="4"/>
  <c r="K56" i="4"/>
  <c r="I56" i="4"/>
  <c r="H56" i="4"/>
  <c r="L56" i="4"/>
  <c r="J56" i="4"/>
  <c r="G54" i="4"/>
  <c r="C54" i="4"/>
  <c r="F54" i="4"/>
  <c r="E54" i="4"/>
  <c r="D54" i="4"/>
  <c r="G52" i="4"/>
  <c r="C52" i="4"/>
  <c r="D52" i="4"/>
  <c r="F52" i="4"/>
  <c r="E52" i="4"/>
  <c r="G48" i="4"/>
  <c r="C48" i="4"/>
  <c r="F48" i="4"/>
  <c r="D48" i="4"/>
  <c r="E48" i="4"/>
  <c r="G44" i="4"/>
  <c r="C44" i="4"/>
  <c r="F44" i="4"/>
  <c r="D44" i="4"/>
  <c r="E44" i="4"/>
  <c r="K41" i="4"/>
  <c r="J41" i="4"/>
  <c r="I41" i="4"/>
  <c r="L41" i="4"/>
  <c r="H41" i="4"/>
  <c r="K37" i="4"/>
  <c r="J37" i="4"/>
  <c r="H37" i="4"/>
  <c r="L37" i="4"/>
  <c r="L33" i="4"/>
  <c r="H33" i="4"/>
  <c r="J33" i="4"/>
  <c r="K33" i="4"/>
  <c r="I33" i="4"/>
  <c r="D25" i="4"/>
  <c r="F25" i="4"/>
  <c r="E25" i="4"/>
  <c r="C25" i="4"/>
  <c r="G25" i="4"/>
  <c r="D21" i="4"/>
  <c r="F21" i="4"/>
  <c r="E21" i="4"/>
  <c r="C21" i="4"/>
  <c r="L18" i="4"/>
  <c r="H18" i="4"/>
  <c r="J18" i="4"/>
  <c r="I18" i="4"/>
  <c r="K18" i="4"/>
  <c r="L14" i="4"/>
  <c r="H14" i="4"/>
  <c r="I14" i="4"/>
  <c r="J14" i="4"/>
  <c r="K14" i="4"/>
  <c r="L12" i="4"/>
  <c r="H12" i="4"/>
  <c r="K12" i="4"/>
  <c r="J12" i="4"/>
  <c r="I12" i="4"/>
  <c r="I8" i="4"/>
  <c r="L8" i="4"/>
  <c r="H8" i="4"/>
  <c r="J8" i="4"/>
  <c r="K8" i="4"/>
  <c r="U105" i="1"/>
  <c r="U101" i="1"/>
  <c r="U83" i="1"/>
  <c r="N79" i="1"/>
  <c r="N75" i="1"/>
  <c r="N51" i="1"/>
  <c r="N47" i="1"/>
  <c r="N45" i="1"/>
  <c r="K78" i="4"/>
  <c r="J78" i="4"/>
  <c r="L78" i="4"/>
  <c r="I78" i="4"/>
  <c r="K76" i="4"/>
  <c r="J76" i="4"/>
  <c r="H76" i="4"/>
  <c r="L76" i="4"/>
  <c r="I76" i="4"/>
  <c r="K74" i="4"/>
  <c r="J74" i="4"/>
  <c r="L74" i="4"/>
  <c r="I74" i="4"/>
  <c r="H74" i="4"/>
  <c r="K72" i="4"/>
  <c r="J72" i="4"/>
  <c r="H72" i="4"/>
  <c r="L72" i="4"/>
  <c r="I72" i="4"/>
  <c r="K70" i="4"/>
  <c r="J70" i="4"/>
  <c r="L70" i="4"/>
  <c r="I70" i="4"/>
  <c r="H70" i="4"/>
  <c r="K68" i="4"/>
  <c r="J68" i="4"/>
  <c r="H68" i="4"/>
  <c r="L68" i="4"/>
  <c r="I68" i="4"/>
  <c r="G66" i="4"/>
  <c r="C66" i="4"/>
  <c r="F66" i="4"/>
  <c r="D66" i="4"/>
  <c r="E66" i="4"/>
  <c r="G64" i="4"/>
  <c r="C64" i="4"/>
  <c r="D64" i="4"/>
  <c r="F64" i="4"/>
  <c r="E64" i="4"/>
  <c r="G62" i="4"/>
  <c r="C62" i="4"/>
  <c r="F62" i="4"/>
  <c r="E62" i="4"/>
  <c r="D62" i="4"/>
  <c r="G60" i="4"/>
  <c r="C60" i="4"/>
  <c r="D60" i="4"/>
  <c r="F60" i="4"/>
  <c r="E60" i="4"/>
  <c r="G58" i="4"/>
  <c r="C58" i="4"/>
  <c r="F58" i="4"/>
  <c r="E58" i="4"/>
  <c r="D58" i="4"/>
  <c r="G56" i="4"/>
  <c r="C56" i="4"/>
  <c r="D56" i="4"/>
  <c r="F56" i="4"/>
  <c r="E56" i="4"/>
  <c r="K53" i="4"/>
  <c r="H53" i="4"/>
  <c r="L53" i="4"/>
  <c r="J53" i="4"/>
  <c r="I53" i="4"/>
  <c r="K51" i="4"/>
  <c r="J51" i="4"/>
  <c r="I51" i="4"/>
  <c r="L51" i="4"/>
  <c r="H51" i="4"/>
  <c r="K49" i="4"/>
  <c r="J49" i="4"/>
  <c r="I49" i="4"/>
  <c r="L49" i="4"/>
  <c r="H49" i="4"/>
  <c r="K47" i="4"/>
  <c r="J47" i="4"/>
  <c r="I47" i="4"/>
  <c r="L47" i="4"/>
  <c r="K45" i="4"/>
  <c r="J45" i="4"/>
  <c r="I45" i="4"/>
  <c r="H45" i="4"/>
  <c r="L45" i="4"/>
  <c r="K43" i="4"/>
  <c r="J43" i="4"/>
  <c r="I43" i="4"/>
  <c r="L43" i="4"/>
  <c r="H43" i="4"/>
  <c r="G41" i="4"/>
  <c r="C41" i="4"/>
  <c r="F41" i="4"/>
  <c r="E41" i="4"/>
  <c r="G39" i="4"/>
  <c r="C39" i="4"/>
  <c r="E39" i="4"/>
  <c r="F39" i="4"/>
  <c r="D39" i="4"/>
  <c r="G37" i="4"/>
  <c r="C37" i="4"/>
  <c r="E37" i="4"/>
  <c r="F37" i="4"/>
  <c r="D37" i="4"/>
  <c r="D35" i="4"/>
  <c r="F35" i="4"/>
  <c r="G35" i="4"/>
  <c r="C35" i="4"/>
  <c r="E35" i="4"/>
  <c r="D33" i="4"/>
  <c r="F33" i="4"/>
  <c r="E33" i="4"/>
  <c r="C33" i="4"/>
  <c r="D31" i="4"/>
  <c r="F31" i="4"/>
  <c r="G31" i="4"/>
  <c r="C31" i="4"/>
  <c r="E31" i="4"/>
  <c r="L30" i="4"/>
  <c r="H30" i="4"/>
  <c r="J30" i="4"/>
  <c r="I30" i="4"/>
  <c r="K30" i="4"/>
  <c r="L28" i="4"/>
  <c r="H28" i="4"/>
  <c r="J28" i="4"/>
  <c r="K28" i="4"/>
  <c r="I28" i="4"/>
  <c r="L26" i="4"/>
  <c r="H26" i="4"/>
  <c r="J26" i="4"/>
  <c r="I26" i="4"/>
  <c r="K26" i="4"/>
  <c r="L24" i="4"/>
  <c r="H24" i="4"/>
  <c r="J24" i="4"/>
  <c r="K24" i="4"/>
  <c r="I24" i="4"/>
  <c r="L22" i="4"/>
  <c r="H22" i="4"/>
  <c r="J22" i="4"/>
  <c r="I22" i="4"/>
  <c r="L20" i="4"/>
  <c r="H20" i="4"/>
  <c r="J20" i="4"/>
  <c r="K20" i="4"/>
  <c r="I20" i="4"/>
  <c r="D18" i="4"/>
  <c r="F18" i="4"/>
  <c r="G18" i="4"/>
  <c r="E18" i="4"/>
  <c r="C18" i="4"/>
  <c r="D16" i="4"/>
  <c r="F16" i="4"/>
  <c r="C16" i="4"/>
  <c r="G16" i="4"/>
  <c r="E16" i="4"/>
  <c r="D14" i="4"/>
  <c r="C14" i="4"/>
  <c r="G14" i="4"/>
  <c r="E14" i="4"/>
  <c r="F14" i="4"/>
  <c r="D12" i="4"/>
  <c r="F12" i="4"/>
  <c r="E12" i="4"/>
  <c r="C12" i="4"/>
  <c r="G12" i="4"/>
  <c r="E10" i="4"/>
  <c r="D10" i="4"/>
  <c r="F10" i="4"/>
  <c r="G10" i="4"/>
  <c r="C10" i="4"/>
  <c r="E8" i="4"/>
  <c r="D8" i="4"/>
  <c r="F8" i="4"/>
  <c r="G8" i="4"/>
  <c r="U115" i="1"/>
  <c r="U113" i="1"/>
  <c r="U111" i="1"/>
  <c r="N107" i="1"/>
  <c r="N105" i="1"/>
  <c r="N103" i="1"/>
  <c r="N101" i="1"/>
  <c r="N99" i="1"/>
  <c r="N97" i="1"/>
  <c r="U92" i="1"/>
  <c r="N91" i="1"/>
  <c r="N89" i="1"/>
  <c r="N87" i="1"/>
  <c r="N85" i="1"/>
  <c r="N83" i="1"/>
  <c r="U80" i="1"/>
  <c r="U78" i="1"/>
  <c r="U76" i="1"/>
  <c r="U74" i="1"/>
  <c r="U72" i="1"/>
  <c r="N71" i="1"/>
  <c r="U68" i="1"/>
  <c r="U52" i="1"/>
  <c r="U50" i="1"/>
  <c r="U48" i="1"/>
  <c r="U46" i="1"/>
  <c r="U44" i="1"/>
  <c r="N42" i="1"/>
  <c r="N40" i="1"/>
  <c r="N38" i="1"/>
  <c r="N36" i="1"/>
  <c r="N34" i="1"/>
  <c r="N32" i="1"/>
  <c r="N28" i="1"/>
  <c r="N26" i="1"/>
  <c r="N24" i="1"/>
  <c r="N22" i="1"/>
  <c r="N20" i="1"/>
  <c r="N18" i="1"/>
  <c r="N14" i="1"/>
  <c r="N12" i="1"/>
  <c r="N10" i="1"/>
  <c r="C8" i="4"/>
  <c r="K22" i="4"/>
  <c r="H47" i="4"/>
  <c r="K77" i="4"/>
  <c r="J77" i="4"/>
  <c r="I77" i="4"/>
  <c r="H77" i="4"/>
  <c r="L77" i="4"/>
  <c r="K73" i="4"/>
  <c r="J73" i="4"/>
  <c r="I73" i="4"/>
  <c r="H73" i="4"/>
  <c r="K69" i="4"/>
  <c r="J69" i="4"/>
  <c r="I69" i="4"/>
  <c r="H69" i="4"/>
  <c r="L69" i="4"/>
  <c r="G63" i="4"/>
  <c r="C63" i="4"/>
  <c r="E63" i="4"/>
  <c r="D63" i="4"/>
  <c r="F63" i="4"/>
  <c r="G59" i="4"/>
  <c r="C59" i="4"/>
  <c r="E59" i="4"/>
  <c r="D59" i="4"/>
  <c r="F59" i="4"/>
  <c r="G55" i="4"/>
  <c r="C55" i="4"/>
  <c r="E55" i="4"/>
  <c r="D55" i="4"/>
  <c r="F55" i="4"/>
  <c r="K54" i="4"/>
  <c r="L54" i="4"/>
  <c r="J54" i="4"/>
  <c r="H54" i="4"/>
  <c r="I54" i="4"/>
  <c r="K50" i="4"/>
  <c r="L50" i="4"/>
  <c r="J50" i="4"/>
  <c r="H50" i="4"/>
  <c r="I50" i="4"/>
  <c r="K46" i="4"/>
  <c r="J46" i="4"/>
  <c r="H46" i="4"/>
  <c r="L46" i="4"/>
  <c r="I46" i="4"/>
  <c r="G40" i="4"/>
  <c r="C40" i="4"/>
  <c r="F40" i="4"/>
  <c r="D40" i="4"/>
  <c r="E40" i="4"/>
  <c r="D36" i="4"/>
  <c r="F36" i="4"/>
  <c r="C36" i="4"/>
  <c r="G36" i="4"/>
  <c r="E36" i="4"/>
  <c r="D32" i="4"/>
  <c r="F32" i="4"/>
  <c r="C32" i="4"/>
  <c r="G32" i="4"/>
  <c r="E32" i="4"/>
  <c r="L29" i="4"/>
  <c r="H29" i="4"/>
  <c r="J29" i="4"/>
  <c r="K29" i="4"/>
  <c r="I29" i="4"/>
  <c r="L27" i="4"/>
  <c r="H27" i="4"/>
  <c r="J27" i="4"/>
  <c r="I27" i="4"/>
  <c r="K27" i="4"/>
  <c r="L23" i="4"/>
  <c r="H23" i="4"/>
  <c r="J23" i="4"/>
  <c r="I23" i="4"/>
  <c r="K23" i="4"/>
  <c r="L19" i="4"/>
  <c r="H19" i="4"/>
  <c r="J19" i="4"/>
  <c r="I19" i="4"/>
  <c r="K19" i="4"/>
  <c r="D17" i="4"/>
  <c r="F17" i="4"/>
  <c r="E17" i="4"/>
  <c r="C17" i="4"/>
  <c r="D13" i="4"/>
  <c r="E13" i="4"/>
  <c r="C13" i="4"/>
  <c r="G13" i="4"/>
  <c r="F13" i="4"/>
  <c r="E9" i="4"/>
  <c r="D9" i="4"/>
  <c r="G9" i="4"/>
  <c r="C9" i="4"/>
  <c r="F9" i="4"/>
  <c r="U114" i="1"/>
  <c r="N104" i="1"/>
  <c r="N100" i="1"/>
  <c r="N96" i="1"/>
  <c r="U93" i="1"/>
  <c r="N90" i="1"/>
  <c r="N86" i="1"/>
  <c r="U79" i="1"/>
  <c r="U75" i="1"/>
  <c r="U65" i="1"/>
  <c r="U61" i="1"/>
  <c r="U57" i="1"/>
  <c r="N55" i="1"/>
  <c r="N27" i="1"/>
  <c r="N23" i="1"/>
  <c r="N19" i="1"/>
  <c r="G73" i="4"/>
  <c r="C73" i="4"/>
  <c r="F73" i="4"/>
  <c r="E73" i="4"/>
  <c r="D73" i="4"/>
  <c r="G67" i="4"/>
  <c r="C67" i="4"/>
  <c r="F67" i="4"/>
  <c r="E67" i="4"/>
  <c r="D67" i="4"/>
  <c r="K66" i="4"/>
  <c r="J66" i="4"/>
  <c r="L66" i="4"/>
  <c r="I66" i="4"/>
  <c r="H66" i="4"/>
  <c r="K62" i="4"/>
  <c r="L62" i="4"/>
  <c r="J62" i="4"/>
  <c r="H62" i="4"/>
  <c r="I62" i="4"/>
  <c r="K58" i="4"/>
  <c r="L58" i="4"/>
  <c r="J58" i="4"/>
  <c r="H58" i="4"/>
  <c r="I58" i="4"/>
  <c r="G50" i="4"/>
  <c r="C50" i="4"/>
  <c r="F50" i="4"/>
  <c r="D50" i="4"/>
  <c r="E50" i="4"/>
  <c r="G46" i="4"/>
  <c r="C46" i="4"/>
  <c r="F46" i="4"/>
  <c r="D46" i="4"/>
  <c r="E46" i="4"/>
  <c r="K39" i="4"/>
  <c r="H39" i="4"/>
  <c r="J39" i="4"/>
  <c r="I39" i="4"/>
  <c r="L39" i="4"/>
  <c r="L35" i="4"/>
  <c r="H35" i="4"/>
  <c r="J35" i="4"/>
  <c r="I35" i="4"/>
  <c r="K35" i="4"/>
  <c r="L31" i="4"/>
  <c r="H31" i="4"/>
  <c r="J31" i="4"/>
  <c r="I31" i="4"/>
  <c r="K31" i="4"/>
  <c r="D29" i="4"/>
  <c r="F29" i="4"/>
  <c r="E29" i="4"/>
  <c r="C29" i="4"/>
  <c r="G29" i="4"/>
  <c r="D27" i="4"/>
  <c r="F27" i="4"/>
  <c r="G27" i="4"/>
  <c r="C27" i="4"/>
  <c r="E27" i="4"/>
  <c r="D23" i="4"/>
  <c r="F23" i="4"/>
  <c r="G23" i="4"/>
  <c r="C23" i="4"/>
  <c r="E23" i="4"/>
  <c r="D19" i="4"/>
  <c r="F19" i="4"/>
  <c r="G19" i="4"/>
  <c r="C19" i="4"/>
  <c r="E19" i="4"/>
  <c r="L16" i="4"/>
  <c r="H16" i="4"/>
  <c r="J16" i="4"/>
  <c r="K16" i="4"/>
  <c r="I16" i="4"/>
  <c r="L10" i="4"/>
  <c r="I10" i="4"/>
  <c r="H10" i="4"/>
  <c r="J10" i="4"/>
  <c r="K10" i="4"/>
  <c r="N112" i="1"/>
  <c r="N110" i="1"/>
  <c r="U97" i="1"/>
  <c r="N93" i="1"/>
  <c r="U89" i="1"/>
  <c r="U87" i="1"/>
  <c r="N81" i="1"/>
  <c r="N77" i="1"/>
  <c r="N73" i="1"/>
  <c r="U54" i="1"/>
  <c r="N49" i="1"/>
  <c r="L73" i="4"/>
  <c r="G78" i="4"/>
  <c r="C78" i="4"/>
  <c r="F78" i="4"/>
  <c r="D78" i="4"/>
  <c r="E78" i="4"/>
  <c r="G76" i="4"/>
  <c r="C76" i="4"/>
  <c r="F76" i="4"/>
  <c r="E76" i="4"/>
  <c r="D76" i="4"/>
  <c r="G74" i="4"/>
  <c r="C74" i="4"/>
  <c r="F74" i="4"/>
  <c r="D74" i="4"/>
  <c r="E74" i="4"/>
  <c r="G72" i="4"/>
  <c r="C72" i="4"/>
  <c r="F72" i="4"/>
  <c r="E72" i="4"/>
  <c r="D72" i="4"/>
  <c r="G70" i="4"/>
  <c r="C70" i="4"/>
  <c r="F70" i="4"/>
  <c r="D70" i="4"/>
  <c r="E70" i="4"/>
  <c r="G68" i="4"/>
  <c r="C68" i="4"/>
  <c r="F68" i="4"/>
  <c r="E68" i="4"/>
  <c r="D68" i="4"/>
  <c r="K65" i="4"/>
  <c r="J65" i="4"/>
  <c r="I65" i="4"/>
  <c r="H65" i="4"/>
  <c r="L65" i="4"/>
  <c r="K63" i="4"/>
  <c r="J63" i="4"/>
  <c r="I63" i="4"/>
  <c r="L63" i="4"/>
  <c r="H63" i="4"/>
  <c r="K61" i="4"/>
  <c r="H61" i="4"/>
  <c r="L61" i="4"/>
  <c r="J61" i="4"/>
  <c r="I61" i="4"/>
  <c r="K59" i="4"/>
  <c r="J59" i="4"/>
  <c r="I59" i="4"/>
  <c r="L59" i="4"/>
  <c r="H59" i="4"/>
  <c r="K57" i="4"/>
  <c r="H57" i="4"/>
  <c r="L57" i="4"/>
  <c r="J57" i="4"/>
  <c r="K55" i="4"/>
  <c r="J55" i="4"/>
  <c r="I55" i="4"/>
  <c r="L55" i="4"/>
  <c r="H55" i="4"/>
  <c r="G53" i="4"/>
  <c r="C53" i="4"/>
  <c r="F53" i="4"/>
  <c r="E53" i="4"/>
  <c r="G51" i="4"/>
  <c r="C51" i="4"/>
  <c r="E51" i="4"/>
  <c r="D51" i="4"/>
  <c r="F51" i="4"/>
  <c r="G49" i="4"/>
  <c r="C49" i="4"/>
  <c r="F49" i="4"/>
  <c r="E49" i="4"/>
  <c r="D49" i="4"/>
  <c r="G47" i="4"/>
  <c r="C47" i="4"/>
  <c r="F47" i="4"/>
  <c r="E47" i="4"/>
  <c r="D47" i="4"/>
  <c r="G45" i="4"/>
  <c r="C45" i="4"/>
  <c r="F45" i="4"/>
  <c r="E45" i="4"/>
  <c r="D45" i="4"/>
  <c r="G43" i="4"/>
  <c r="C43" i="4"/>
  <c r="F43" i="4"/>
  <c r="E43" i="4"/>
  <c r="D43" i="4"/>
  <c r="K42" i="4"/>
  <c r="J42" i="4"/>
  <c r="H42" i="4"/>
  <c r="L42" i="4"/>
  <c r="I42" i="4"/>
  <c r="K40" i="4"/>
  <c r="L40" i="4"/>
  <c r="I40" i="4"/>
  <c r="J40" i="4"/>
  <c r="H40" i="4"/>
  <c r="K38" i="4"/>
  <c r="I38" i="4"/>
  <c r="L38" i="4"/>
  <c r="J38" i="4"/>
  <c r="H38" i="4"/>
  <c r="L36" i="4"/>
  <c r="H36" i="4"/>
  <c r="J36" i="4"/>
  <c r="K36" i="4"/>
  <c r="I36" i="4"/>
  <c r="L34" i="4"/>
  <c r="H34" i="4"/>
  <c r="J34" i="4"/>
  <c r="I34" i="4"/>
  <c r="K34" i="4"/>
  <c r="L32" i="4"/>
  <c r="H32" i="4"/>
  <c r="J32" i="4"/>
  <c r="K32" i="4"/>
  <c r="I32" i="4"/>
  <c r="D30" i="4"/>
  <c r="F30" i="4"/>
  <c r="G30" i="4"/>
  <c r="E30" i="4"/>
  <c r="C30" i="4"/>
  <c r="D28" i="4"/>
  <c r="F28" i="4"/>
  <c r="C28" i="4"/>
  <c r="G28" i="4"/>
  <c r="D26" i="4"/>
  <c r="F26" i="4"/>
  <c r="G26" i="4"/>
  <c r="E26" i="4"/>
  <c r="D24" i="4"/>
  <c r="F24" i="4"/>
  <c r="C24" i="4"/>
  <c r="G24" i="4"/>
  <c r="E24" i="4"/>
  <c r="D22" i="4"/>
  <c r="F22" i="4"/>
  <c r="G22" i="4"/>
  <c r="E22" i="4"/>
  <c r="C22" i="4"/>
  <c r="D20" i="4"/>
  <c r="F20" i="4"/>
  <c r="C20" i="4"/>
  <c r="G20" i="4"/>
  <c r="E20" i="4"/>
  <c r="L17" i="4"/>
  <c r="H17" i="4"/>
  <c r="J17" i="4"/>
  <c r="K17" i="4"/>
  <c r="I17" i="4"/>
  <c r="L15" i="4"/>
  <c r="H15" i="4"/>
  <c r="J15" i="4"/>
  <c r="I15" i="4"/>
  <c r="K15" i="4"/>
  <c r="L13" i="4"/>
  <c r="H13" i="4"/>
  <c r="J13" i="4"/>
  <c r="I13" i="4"/>
  <c r="K13" i="4"/>
  <c r="L11" i="4"/>
  <c r="H11" i="4"/>
  <c r="K11" i="4"/>
  <c r="I11" i="4"/>
  <c r="I9" i="4"/>
  <c r="L9" i="4"/>
  <c r="H9" i="4"/>
  <c r="K9" i="4"/>
  <c r="J9" i="4"/>
  <c r="I7" i="4"/>
  <c r="L7" i="4"/>
  <c r="H7" i="4"/>
  <c r="K7" i="4"/>
  <c r="J7" i="4"/>
  <c r="N115" i="1"/>
  <c r="N113" i="1"/>
  <c r="N111" i="1"/>
  <c r="N109" i="1"/>
  <c r="U106" i="1"/>
  <c r="U104" i="1"/>
  <c r="U102" i="1"/>
  <c r="U100" i="1"/>
  <c r="U98" i="1"/>
  <c r="U96" i="1"/>
  <c r="N94" i="1"/>
  <c r="N92" i="1"/>
  <c r="U88" i="1"/>
  <c r="U84" i="1"/>
  <c r="N80" i="1"/>
  <c r="N78" i="1"/>
  <c r="N76" i="1"/>
  <c r="N74" i="1"/>
  <c r="N72" i="1"/>
  <c r="N68" i="1"/>
  <c r="N66" i="1"/>
  <c r="N64" i="1"/>
  <c r="N62" i="1"/>
  <c r="N60" i="1"/>
  <c r="N58" i="1"/>
  <c r="G21" i="4"/>
  <c r="C26" i="4"/>
  <c r="G33" i="4"/>
  <c r="D53" i="4"/>
  <c r="N147" i="1"/>
  <c r="S30" i="1"/>
  <c r="S82" i="1"/>
  <c r="S95" i="1"/>
  <c r="L56" i="1"/>
  <c r="L108" i="1"/>
  <c r="U14" i="1"/>
  <c r="U17" i="1" s="1"/>
  <c r="N199" i="1"/>
  <c r="U160" i="1"/>
  <c r="L43" i="1"/>
  <c r="N186" i="1"/>
  <c r="U147" i="1"/>
  <c r="L69" i="1"/>
  <c r="L95" i="1"/>
  <c r="S69" i="1"/>
  <c r="N57" i="1"/>
  <c r="N33" i="1"/>
  <c r="U199" i="1"/>
  <c r="U173" i="1"/>
  <c r="N134" i="1"/>
  <c r="L121" i="1"/>
  <c r="O121" i="1"/>
  <c r="U85" i="1"/>
  <c r="S56" i="1"/>
  <c r="L17" i="1"/>
  <c r="S43" i="1"/>
  <c r="U134" i="1"/>
  <c r="U70" i="1"/>
  <c r="N44" i="1"/>
  <c r="L30" i="1"/>
  <c r="U186" i="1"/>
  <c r="N173" i="1"/>
  <c r="N160" i="1"/>
  <c r="S121" i="1"/>
  <c r="S108" i="1"/>
  <c r="L82" i="1"/>
  <c r="U30" i="1"/>
  <c r="N70" i="1"/>
  <c r="U109" i="1"/>
  <c r="U31" i="1"/>
  <c r="AU58" i="5" l="1"/>
  <c r="AV58" i="5" s="1"/>
  <c r="BC58" i="5" s="1"/>
  <c r="BF58" i="5" s="1"/>
  <c r="BI58" i="5" s="1"/>
  <c r="AU21" i="5"/>
  <c r="AV21" i="5" s="1"/>
  <c r="BC21" i="5" s="1"/>
  <c r="BF21" i="5" s="1"/>
  <c r="BI21" i="5" s="1"/>
  <c r="AU30" i="5"/>
  <c r="AV30" i="5" s="1"/>
  <c r="AW30" i="5" s="1"/>
  <c r="AU19" i="5"/>
  <c r="AV19" i="5" s="1"/>
  <c r="AW19" i="5" s="1"/>
  <c r="AU71" i="5"/>
  <c r="AV71" i="5" s="1"/>
  <c r="BC71" i="5" s="1"/>
  <c r="BF71" i="5" s="1"/>
  <c r="BI71" i="5" s="1"/>
  <c r="AU8" i="5"/>
  <c r="AV8" i="5" s="1"/>
  <c r="BC8" i="5" s="1"/>
  <c r="BF8" i="5" s="1"/>
  <c r="BI8" i="5" s="1"/>
  <c r="AU76" i="5"/>
  <c r="AV76" i="5" s="1"/>
  <c r="AW76" i="5" s="1"/>
  <c r="AU52" i="5"/>
  <c r="AV52" i="5" s="1"/>
  <c r="BC52" i="5" s="1"/>
  <c r="BF52" i="5" s="1"/>
  <c r="BI52" i="5" s="1"/>
  <c r="AU60" i="5"/>
  <c r="AV60" i="5" s="1"/>
  <c r="AW60" i="5" s="1"/>
  <c r="AU7" i="5"/>
  <c r="AV7" i="5" s="1"/>
  <c r="BB7" i="5" s="1"/>
  <c r="BE7" i="5" s="1"/>
  <c r="BH7" i="5" s="1"/>
  <c r="AU35" i="5"/>
  <c r="AV35" i="5" s="1"/>
  <c r="BA35" i="5" s="1"/>
  <c r="BD35" i="5" s="1"/>
  <c r="AU72" i="5"/>
  <c r="AV72" i="5" s="1"/>
  <c r="BB72" i="5" s="1"/>
  <c r="BE72" i="5" s="1"/>
  <c r="BH72" i="5" s="1"/>
  <c r="AU46" i="5"/>
  <c r="AV46" i="5" s="1"/>
  <c r="BA46" i="5" s="1"/>
  <c r="BD46" i="5" s="1"/>
  <c r="AU53" i="5"/>
  <c r="AV53" i="5" s="1"/>
  <c r="BA53" i="5" s="1"/>
  <c r="BD53" i="5" s="1"/>
  <c r="AU45" i="5"/>
  <c r="AV45" i="5" s="1"/>
  <c r="BB45" i="5" s="1"/>
  <c r="BE45" i="5" s="1"/>
  <c r="BH45" i="5" s="1"/>
  <c r="AU38" i="5"/>
  <c r="AV38" i="5" s="1"/>
  <c r="BB38" i="5" s="1"/>
  <c r="BE38" i="5" s="1"/>
  <c r="BH38" i="5" s="1"/>
  <c r="AU20" i="5"/>
  <c r="AV20" i="5" s="1"/>
  <c r="BA20" i="5" s="1"/>
  <c r="BD20" i="5" s="1"/>
  <c r="AU27" i="5"/>
  <c r="AV27" i="5" s="1"/>
  <c r="BA27" i="5" s="1"/>
  <c r="BD27" i="5" s="1"/>
  <c r="AU69" i="5"/>
  <c r="AV69" i="5" s="1"/>
  <c r="BA69" i="5" s="1"/>
  <c r="BD69" i="5" s="1"/>
  <c r="N18" i="3"/>
  <c r="O6" i="3"/>
  <c r="AU73" i="5"/>
  <c r="AV73" i="5" s="1"/>
  <c r="BB73" i="5" s="1"/>
  <c r="BE73" i="5" s="1"/>
  <c r="BH73" i="5" s="1"/>
  <c r="AU6" i="5"/>
  <c r="AV6" i="5" s="1"/>
  <c r="AW6" i="5" s="1"/>
  <c r="AU40" i="5"/>
  <c r="AV40" i="5" s="1"/>
  <c r="BA40" i="5" s="1"/>
  <c r="BD40" i="5" s="1"/>
  <c r="AU22" i="5"/>
  <c r="AV22" i="5" s="1"/>
  <c r="AW22" i="5" s="1"/>
  <c r="AU16" i="5"/>
  <c r="AV16" i="5" s="1"/>
  <c r="BC16" i="5" s="1"/>
  <c r="BF16" i="5" s="1"/>
  <c r="BI16" i="5" s="1"/>
  <c r="AU14" i="5"/>
  <c r="AV14" i="5" s="1"/>
  <c r="BB14" i="5" s="1"/>
  <c r="BE14" i="5" s="1"/>
  <c r="BH14" i="5" s="1"/>
  <c r="AU62" i="5"/>
  <c r="AV62" i="5" s="1"/>
  <c r="BA62" i="5" s="1"/>
  <c r="BD62" i="5" s="1"/>
  <c r="AU49" i="5"/>
  <c r="AV49" i="5" s="1"/>
  <c r="AW49" i="5" s="1"/>
  <c r="AU59" i="5"/>
  <c r="AV59" i="5" s="1"/>
  <c r="BB59" i="5" s="1"/>
  <c r="BE59" i="5" s="1"/>
  <c r="BH59" i="5" s="1"/>
  <c r="AU63" i="5"/>
  <c r="AV63" i="5" s="1"/>
  <c r="AW63" i="5" s="1"/>
  <c r="AU24" i="5"/>
  <c r="AV24" i="5" s="1"/>
  <c r="BC24" i="5" s="1"/>
  <c r="BF24" i="5" s="1"/>
  <c r="BI24" i="5" s="1"/>
  <c r="AU26" i="5"/>
  <c r="AV26" i="5" s="1"/>
  <c r="BC26" i="5" s="1"/>
  <c r="BF26" i="5" s="1"/>
  <c r="BI26" i="5" s="1"/>
  <c r="AU68" i="5"/>
  <c r="AV68" i="5" s="1"/>
  <c r="BA68" i="5" s="1"/>
  <c r="BD68" i="5" s="1"/>
  <c r="AU56" i="5"/>
  <c r="AV56" i="5" s="1"/>
  <c r="BA56" i="5" s="1"/>
  <c r="BD56" i="5" s="1"/>
  <c r="AU67" i="5"/>
  <c r="AV67" i="5" s="1"/>
  <c r="BA67" i="5" s="1"/>
  <c r="BD67" i="5" s="1"/>
  <c r="L79" i="4"/>
  <c r="BK38" i="5"/>
  <c r="BK23" i="5"/>
  <c r="BK47" i="5"/>
  <c r="BK63" i="5"/>
  <c r="BK45" i="5"/>
  <c r="BK15" i="5"/>
  <c r="BK27" i="5"/>
  <c r="BK39" i="5"/>
  <c r="BK55" i="5"/>
  <c r="AU9" i="5"/>
  <c r="AV9" i="5" s="1"/>
  <c r="BB9" i="5" s="1"/>
  <c r="BE9" i="5" s="1"/>
  <c r="BH9" i="5" s="1"/>
  <c r="AU28" i="5"/>
  <c r="AV28" i="5" s="1"/>
  <c r="BA28" i="5" s="1"/>
  <c r="BD28" i="5" s="1"/>
  <c r="AU41" i="5"/>
  <c r="AV41" i="5" s="1"/>
  <c r="BC41" i="5" s="1"/>
  <c r="BF41" i="5" s="1"/>
  <c r="BI41" i="5" s="1"/>
  <c r="AU70" i="5"/>
  <c r="AV70" i="5" s="1"/>
  <c r="BA70" i="5" s="1"/>
  <c r="BD70" i="5" s="1"/>
  <c r="AU37" i="5"/>
  <c r="AV37" i="5" s="1"/>
  <c r="BA37" i="5" s="1"/>
  <c r="BD37" i="5" s="1"/>
  <c r="AU29" i="5"/>
  <c r="AV29" i="5" s="1"/>
  <c r="BC29" i="5" s="1"/>
  <c r="BF29" i="5" s="1"/>
  <c r="BI29" i="5" s="1"/>
  <c r="BK33" i="5"/>
  <c r="BK49" i="5"/>
  <c r="BK67" i="5"/>
  <c r="BK54" i="5"/>
  <c r="BK29" i="5"/>
  <c r="BK44" i="5"/>
  <c r="BK57" i="5"/>
  <c r="BK74" i="5"/>
  <c r="BK41" i="5"/>
  <c r="BK53" i="5"/>
  <c r="BK70" i="5"/>
  <c r="BK11" i="5"/>
  <c r="Y78" i="5"/>
  <c r="BK72" i="5"/>
  <c r="BK46" i="5"/>
  <c r="BK62" i="5"/>
  <c r="AU51" i="5"/>
  <c r="AV51" i="5" s="1"/>
  <c r="BA51" i="5" s="1"/>
  <c r="BD51" i="5" s="1"/>
  <c r="AU31" i="5"/>
  <c r="AV31" i="5" s="1"/>
  <c r="BA31" i="5" s="1"/>
  <c r="BD31" i="5" s="1"/>
  <c r="AU10" i="5"/>
  <c r="AV10" i="5" s="1"/>
  <c r="BC10" i="5" s="1"/>
  <c r="BF10" i="5" s="1"/>
  <c r="BI10" i="5" s="1"/>
  <c r="AU54" i="5"/>
  <c r="AV54" i="5" s="1"/>
  <c r="AW54" i="5" s="1"/>
  <c r="AU12" i="5"/>
  <c r="AV12" i="5" s="1"/>
  <c r="BB12" i="5" s="1"/>
  <c r="BE12" i="5" s="1"/>
  <c r="BH12" i="5" s="1"/>
  <c r="AU25" i="5"/>
  <c r="AV25" i="5" s="1"/>
  <c r="BA25" i="5" s="1"/>
  <c r="BD25" i="5" s="1"/>
  <c r="AU65" i="5"/>
  <c r="AV65" i="5" s="1"/>
  <c r="BC65" i="5" s="1"/>
  <c r="BF65" i="5" s="1"/>
  <c r="BI65" i="5" s="1"/>
  <c r="BL56" i="5"/>
  <c r="BL22" i="5"/>
  <c r="BL34" i="5"/>
  <c r="BL43" i="5"/>
  <c r="BL42" i="5"/>
  <c r="BL75" i="5"/>
  <c r="BK25" i="5"/>
  <c r="BK51" i="5"/>
  <c r="BK65" i="5"/>
  <c r="BK61" i="5"/>
  <c r="BK13" i="5"/>
  <c r="BK24" i="5"/>
  <c r="BK36" i="5"/>
  <c r="BK66" i="5"/>
  <c r="BK77" i="5"/>
  <c r="BL6" i="5"/>
  <c r="Z78" i="5"/>
  <c r="AU43" i="5"/>
  <c r="AV43" i="5" s="1"/>
  <c r="AU75" i="5"/>
  <c r="AV75" i="5" s="1"/>
  <c r="AU11" i="5"/>
  <c r="AV11" i="5" s="1"/>
  <c r="AW32" i="5"/>
  <c r="BC32" i="5"/>
  <c r="BF32" i="5" s="1"/>
  <c r="BI32" i="5" s="1"/>
  <c r="BB32" i="5"/>
  <c r="BE32" i="5" s="1"/>
  <c r="BH32" i="5" s="1"/>
  <c r="BA32" i="5"/>
  <c r="BD32" i="5" s="1"/>
  <c r="AU47" i="5"/>
  <c r="AV47" i="5" s="1"/>
  <c r="AU42" i="5"/>
  <c r="AV42" i="5" s="1"/>
  <c r="AU13" i="5"/>
  <c r="AV13" i="5" s="1"/>
  <c r="AU77" i="5"/>
  <c r="AV77" i="5" s="1"/>
  <c r="AU64" i="5"/>
  <c r="AV64" i="5" s="1"/>
  <c r="AU36" i="5"/>
  <c r="AV36" i="5" s="1"/>
  <c r="AU39" i="5"/>
  <c r="AV39" i="5" s="1"/>
  <c r="AU44" i="5"/>
  <c r="AV44" i="5" s="1"/>
  <c r="AU33" i="5"/>
  <c r="AV33" i="5" s="1"/>
  <c r="AU61" i="5"/>
  <c r="AV61" i="5" s="1"/>
  <c r="AU57" i="5"/>
  <c r="AV57" i="5" s="1"/>
  <c r="AU23" i="5"/>
  <c r="AV23" i="5" s="1"/>
  <c r="AU55" i="5"/>
  <c r="AV55" i="5" s="1"/>
  <c r="AU18" i="5"/>
  <c r="AV18" i="5" s="1"/>
  <c r="AU17" i="5"/>
  <c r="AV17" i="5" s="1"/>
  <c r="AU34" i="5"/>
  <c r="AV34" i="5" s="1"/>
  <c r="AU50" i="5"/>
  <c r="AV50" i="5" s="1"/>
  <c r="AU74" i="5"/>
  <c r="AV74" i="5" s="1"/>
  <c r="AU66" i="5"/>
  <c r="AV66" i="5" s="1"/>
  <c r="AU48" i="5"/>
  <c r="AV48" i="5" s="1"/>
  <c r="AU15" i="5"/>
  <c r="AV15" i="5" s="1"/>
  <c r="N17" i="1"/>
  <c r="N30" i="1"/>
  <c r="N108" i="1"/>
  <c r="U56" i="1"/>
  <c r="U43" i="1"/>
  <c r="N43" i="1"/>
  <c r="U108" i="1"/>
  <c r="N95" i="1"/>
  <c r="U95" i="1"/>
  <c r="N56" i="1"/>
  <c r="U121" i="1"/>
  <c r="U82" i="1"/>
  <c r="N82" i="1"/>
  <c r="U69" i="1"/>
  <c r="N69" i="1"/>
  <c r="N121" i="1"/>
  <c r="E100" i="1"/>
  <c r="D100" i="1"/>
  <c r="E99" i="1"/>
  <c r="E98" i="1"/>
  <c r="D98" i="1"/>
  <c r="E97" i="1"/>
  <c r="E96" i="1"/>
  <c r="D96" i="1"/>
  <c r="E94" i="1"/>
  <c r="E93" i="1"/>
  <c r="D93" i="1"/>
  <c r="E92" i="1"/>
  <c r="E91" i="1"/>
  <c r="D91" i="1"/>
  <c r="D90" i="1"/>
  <c r="E89" i="1"/>
  <c r="D89" i="1"/>
  <c r="E88" i="1"/>
  <c r="E87" i="1"/>
  <c r="D87" i="1"/>
  <c r="E86" i="1"/>
  <c r="D86" i="1"/>
  <c r="E85" i="1"/>
  <c r="D85" i="1"/>
  <c r="D84" i="1"/>
  <c r="D83" i="1"/>
  <c r="E81" i="1"/>
  <c r="E80" i="1"/>
  <c r="D80" i="1"/>
  <c r="E79" i="1"/>
  <c r="E78" i="1"/>
  <c r="D78" i="1"/>
  <c r="E77" i="1"/>
  <c r="E76" i="1"/>
  <c r="D76" i="1"/>
  <c r="E75" i="1"/>
  <c r="E74" i="1"/>
  <c r="D74" i="1"/>
  <c r="E73" i="1"/>
  <c r="D72" i="1"/>
  <c r="E71" i="1"/>
  <c r="D70" i="1"/>
  <c r="E68" i="1"/>
  <c r="E67" i="1"/>
  <c r="D67" i="1"/>
  <c r="E66" i="1"/>
  <c r="D66" i="1"/>
  <c r="D65" i="1"/>
  <c r="E64" i="1"/>
  <c r="E63" i="1"/>
  <c r="D63" i="1"/>
  <c r="E62" i="1"/>
  <c r="E61" i="1"/>
  <c r="D61" i="1"/>
  <c r="E60" i="1"/>
  <c r="D60" i="1"/>
  <c r="E59" i="1"/>
  <c r="D59" i="1"/>
  <c r="E58" i="1"/>
  <c r="D58" i="1"/>
  <c r="E57" i="1"/>
  <c r="E55" i="1"/>
  <c r="E54" i="1"/>
  <c r="D54" i="1"/>
  <c r="E53" i="1"/>
  <c r="D52" i="1"/>
  <c r="E51" i="1"/>
  <c r="D51" i="1"/>
  <c r="E50" i="1"/>
  <c r="D50" i="1"/>
  <c r="E49" i="1"/>
  <c r="D48" i="1"/>
  <c r="D47" i="1"/>
  <c r="E46" i="1"/>
  <c r="D46" i="1"/>
  <c r="E45" i="1"/>
  <c r="E44" i="1"/>
  <c r="E42" i="1"/>
  <c r="E41" i="1"/>
  <c r="D41" i="1"/>
  <c r="H199" i="1"/>
  <c r="G199" i="1"/>
  <c r="F199" i="1"/>
  <c r="H186" i="1"/>
  <c r="G186" i="1"/>
  <c r="F186" i="1"/>
  <c r="H173" i="1"/>
  <c r="G173" i="1"/>
  <c r="F173" i="1"/>
  <c r="H160" i="1"/>
  <c r="G160" i="1"/>
  <c r="F160" i="1"/>
  <c r="H147" i="1"/>
  <c r="G147" i="1"/>
  <c r="F147" i="1"/>
  <c r="H134" i="1"/>
  <c r="G134" i="1"/>
  <c r="F134" i="1"/>
  <c r="H121" i="1"/>
  <c r="G121" i="1"/>
  <c r="F121" i="1"/>
  <c r="H102" i="1"/>
  <c r="H108" i="1" s="1"/>
  <c r="G102" i="1"/>
  <c r="G108" i="1" s="1"/>
  <c r="F102" i="1"/>
  <c r="F108" i="1" s="1"/>
  <c r="H95" i="1"/>
  <c r="G95" i="1"/>
  <c r="F95" i="1"/>
  <c r="H82" i="1"/>
  <c r="G82" i="1"/>
  <c r="F82" i="1"/>
  <c r="H69" i="1"/>
  <c r="G69" i="1"/>
  <c r="F69" i="1"/>
  <c r="H56" i="1"/>
  <c r="G56" i="1"/>
  <c r="F56" i="1"/>
  <c r="H43" i="1"/>
  <c r="G43" i="1"/>
  <c r="F43" i="1"/>
  <c r="H30" i="1"/>
  <c r="G30" i="1"/>
  <c r="F30" i="1"/>
  <c r="H17" i="1"/>
  <c r="G17" i="1"/>
  <c r="F17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D99" i="1"/>
  <c r="D97" i="1"/>
  <c r="D94" i="1"/>
  <c r="D92" i="1"/>
  <c r="E90" i="1"/>
  <c r="D88" i="1"/>
  <c r="E84" i="1"/>
  <c r="D81" i="1"/>
  <c r="D79" i="1"/>
  <c r="D77" i="1"/>
  <c r="D75" i="1"/>
  <c r="D73" i="1"/>
  <c r="E72" i="1"/>
  <c r="D71" i="1"/>
  <c r="E70" i="1"/>
  <c r="D68" i="1"/>
  <c r="E65" i="1"/>
  <c r="D64" i="1"/>
  <c r="D62" i="1"/>
  <c r="D57" i="1"/>
  <c r="D55" i="1"/>
  <c r="D53" i="1"/>
  <c r="E52" i="1"/>
  <c r="D49" i="1"/>
  <c r="E48" i="1"/>
  <c r="D45" i="1"/>
  <c r="D44" i="1"/>
  <c r="D42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D31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6" i="1"/>
  <c r="D16" i="1"/>
  <c r="E15" i="1"/>
  <c r="D15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C199" i="1"/>
  <c r="C186" i="1"/>
  <c r="C173" i="1"/>
  <c r="C160" i="1"/>
  <c r="C147" i="1"/>
  <c r="C134" i="1"/>
  <c r="C108" i="1"/>
  <c r="C95" i="1"/>
  <c r="C82" i="1"/>
  <c r="C69" i="1"/>
  <c r="C56" i="1"/>
  <c r="C43" i="1"/>
  <c r="C30" i="1"/>
  <c r="C17" i="1"/>
  <c r="BB21" i="5" l="1"/>
  <c r="BE21" i="5" s="1"/>
  <c r="BH21" i="5" s="1"/>
  <c r="AW21" i="5"/>
  <c r="BA21" i="5"/>
  <c r="BD21" i="5" s="1"/>
  <c r="BG21" i="5" s="1"/>
  <c r="BA58" i="5"/>
  <c r="BD58" i="5" s="1"/>
  <c r="BB30" i="5"/>
  <c r="BE30" i="5" s="1"/>
  <c r="BH30" i="5" s="1"/>
  <c r="AW58" i="5"/>
  <c r="BB58" i="5"/>
  <c r="BE58" i="5" s="1"/>
  <c r="BH58" i="5" s="1"/>
  <c r="BC30" i="5"/>
  <c r="BF30" i="5" s="1"/>
  <c r="BI30" i="5" s="1"/>
  <c r="BA30" i="5"/>
  <c r="BD30" i="5" s="1"/>
  <c r="BG30" i="5" s="1"/>
  <c r="BA71" i="5"/>
  <c r="BD71" i="5" s="1"/>
  <c r="BG71" i="5" s="1"/>
  <c r="AW8" i="5"/>
  <c r="BA19" i="5"/>
  <c r="BD19" i="5" s="1"/>
  <c r="BB71" i="5"/>
  <c r="BE71" i="5" s="1"/>
  <c r="BH71" i="5" s="1"/>
  <c r="BA52" i="5"/>
  <c r="BD52" i="5" s="1"/>
  <c r="BG52" i="5" s="1"/>
  <c r="BC19" i="5"/>
  <c r="BF19" i="5" s="1"/>
  <c r="BI19" i="5" s="1"/>
  <c r="AW52" i="5"/>
  <c r="AW72" i="5"/>
  <c r="BB19" i="5"/>
  <c r="BE19" i="5" s="1"/>
  <c r="BH19" i="5" s="1"/>
  <c r="AW73" i="5"/>
  <c r="BA22" i="5"/>
  <c r="BD22" i="5" s="1"/>
  <c r="BG22" i="5" s="1"/>
  <c r="BC76" i="5"/>
  <c r="BF76" i="5" s="1"/>
  <c r="BI76" i="5" s="1"/>
  <c r="BA8" i="5"/>
  <c r="BD8" i="5" s="1"/>
  <c r="BG8" i="5" s="1"/>
  <c r="AW71" i="5"/>
  <c r="BA76" i="5"/>
  <c r="BD76" i="5" s="1"/>
  <c r="BG76" i="5" s="1"/>
  <c r="BB8" i="5"/>
  <c r="BE8" i="5" s="1"/>
  <c r="BH8" i="5" s="1"/>
  <c r="BB76" i="5"/>
  <c r="BE76" i="5" s="1"/>
  <c r="BH76" i="5" s="1"/>
  <c r="BB52" i="5"/>
  <c r="BE52" i="5" s="1"/>
  <c r="BH52" i="5" s="1"/>
  <c r="BC60" i="5"/>
  <c r="BF60" i="5" s="1"/>
  <c r="BI60" i="5" s="1"/>
  <c r="AW38" i="5"/>
  <c r="BB60" i="5"/>
  <c r="BE60" i="5" s="1"/>
  <c r="BH60" i="5" s="1"/>
  <c r="AW46" i="5"/>
  <c r="BA7" i="5"/>
  <c r="BD7" i="5" s="1"/>
  <c r="BG7" i="5" s="1"/>
  <c r="BB24" i="5"/>
  <c r="BE24" i="5" s="1"/>
  <c r="BH24" i="5" s="1"/>
  <c r="BC49" i="5"/>
  <c r="BF49" i="5" s="1"/>
  <c r="BI49" i="5" s="1"/>
  <c r="BC46" i="5"/>
  <c r="BF46" i="5" s="1"/>
  <c r="BI46" i="5" s="1"/>
  <c r="BC38" i="5"/>
  <c r="BF38" i="5" s="1"/>
  <c r="BI38" i="5" s="1"/>
  <c r="BA60" i="5"/>
  <c r="BD60" i="5" s="1"/>
  <c r="BG60" i="5" s="1"/>
  <c r="BA38" i="5"/>
  <c r="BD38" i="5" s="1"/>
  <c r="BG38" i="5" s="1"/>
  <c r="BB53" i="5"/>
  <c r="BE53" i="5" s="1"/>
  <c r="BH53" i="5" s="1"/>
  <c r="AW14" i="5"/>
  <c r="BB56" i="5"/>
  <c r="BE56" i="5" s="1"/>
  <c r="BH56" i="5" s="1"/>
  <c r="AW35" i="5"/>
  <c r="AW20" i="5"/>
  <c r="AW7" i="5"/>
  <c r="AW53" i="5"/>
  <c r="AW27" i="5"/>
  <c r="BB35" i="5"/>
  <c r="BE35" i="5" s="1"/>
  <c r="BH35" i="5" s="1"/>
  <c r="BB46" i="5"/>
  <c r="BE46" i="5" s="1"/>
  <c r="BH46" i="5" s="1"/>
  <c r="AW16" i="5"/>
  <c r="BC7" i="5"/>
  <c r="BF7" i="5" s="1"/>
  <c r="BI7" i="5" s="1"/>
  <c r="BC45" i="5"/>
  <c r="BF45" i="5" s="1"/>
  <c r="BI45" i="5" s="1"/>
  <c r="BB20" i="5"/>
  <c r="BE20" i="5" s="1"/>
  <c r="BH20" i="5" s="1"/>
  <c r="BC63" i="5"/>
  <c r="BF63" i="5" s="1"/>
  <c r="BI63" i="5" s="1"/>
  <c r="BC69" i="5"/>
  <c r="BF69" i="5" s="1"/>
  <c r="BI69" i="5" s="1"/>
  <c r="BA72" i="5"/>
  <c r="BD72" i="5" s="1"/>
  <c r="BG72" i="5" s="1"/>
  <c r="BB26" i="5"/>
  <c r="BE26" i="5" s="1"/>
  <c r="BH26" i="5" s="1"/>
  <c r="BB37" i="5"/>
  <c r="BE37" i="5" s="1"/>
  <c r="BH37" i="5" s="1"/>
  <c r="BC72" i="5"/>
  <c r="BF72" i="5" s="1"/>
  <c r="BI72" i="5" s="1"/>
  <c r="BC53" i="5"/>
  <c r="BF53" i="5" s="1"/>
  <c r="BI53" i="5" s="1"/>
  <c r="BC35" i="5"/>
  <c r="BF35" i="5" s="1"/>
  <c r="BI35" i="5" s="1"/>
  <c r="BA45" i="5"/>
  <c r="BD45" i="5" s="1"/>
  <c r="BC67" i="5"/>
  <c r="BF67" i="5" s="1"/>
  <c r="BI67" i="5" s="1"/>
  <c r="BC27" i="5"/>
  <c r="BF27" i="5" s="1"/>
  <c r="BI27" i="5" s="1"/>
  <c r="BB40" i="5"/>
  <c r="BE40" i="5" s="1"/>
  <c r="BH40" i="5" s="1"/>
  <c r="AW45" i="5"/>
  <c r="BC62" i="5"/>
  <c r="BF62" i="5" s="1"/>
  <c r="BI62" i="5" s="1"/>
  <c r="BB27" i="5"/>
  <c r="BE27" i="5" s="1"/>
  <c r="BH27" i="5" s="1"/>
  <c r="BC40" i="5"/>
  <c r="BF40" i="5" s="1"/>
  <c r="BI40" i="5" s="1"/>
  <c r="BA73" i="5"/>
  <c r="BD73" i="5" s="1"/>
  <c r="BG73" i="5" s="1"/>
  <c r="BB69" i="5"/>
  <c r="BE69" i="5" s="1"/>
  <c r="BH69" i="5" s="1"/>
  <c r="BC20" i="5"/>
  <c r="BF20" i="5" s="1"/>
  <c r="BI20" i="5" s="1"/>
  <c r="AW26" i="5"/>
  <c r="BB62" i="5"/>
  <c r="BE62" i="5" s="1"/>
  <c r="BH62" i="5" s="1"/>
  <c r="BA16" i="5"/>
  <c r="BD16" i="5" s="1"/>
  <c r="BG16" i="5" s="1"/>
  <c r="BA63" i="5"/>
  <c r="BD63" i="5" s="1"/>
  <c r="BG63" i="5" s="1"/>
  <c r="BB68" i="5"/>
  <c r="BE68" i="5" s="1"/>
  <c r="BH68" i="5" s="1"/>
  <c r="BC22" i="5"/>
  <c r="BF22" i="5" s="1"/>
  <c r="BI22" i="5" s="1"/>
  <c r="AW40" i="5"/>
  <c r="AW62" i="5"/>
  <c r="BB63" i="5"/>
  <c r="BE63" i="5" s="1"/>
  <c r="BH63" i="5" s="1"/>
  <c r="BB49" i="5"/>
  <c r="BE49" i="5" s="1"/>
  <c r="BH49" i="5" s="1"/>
  <c r="BA54" i="5"/>
  <c r="BD54" i="5" s="1"/>
  <c r="BG54" i="5" s="1"/>
  <c r="AW69" i="5"/>
  <c r="BC68" i="5"/>
  <c r="BF68" i="5" s="1"/>
  <c r="BI68" i="5" s="1"/>
  <c r="BA26" i="5"/>
  <c r="BD26" i="5" s="1"/>
  <c r="BG26" i="5" s="1"/>
  <c r="BA24" i="5"/>
  <c r="BD24" i="5" s="1"/>
  <c r="AW9" i="5"/>
  <c r="BA49" i="5"/>
  <c r="BD49" i="5" s="1"/>
  <c r="BG49" i="5" s="1"/>
  <c r="BA6" i="5"/>
  <c r="BD6" i="5" s="1"/>
  <c r="BG6" i="5" s="1"/>
  <c r="BB22" i="5"/>
  <c r="BE22" i="5" s="1"/>
  <c r="BH22" i="5" s="1"/>
  <c r="O18" i="3"/>
  <c r="P6" i="3"/>
  <c r="BA14" i="5"/>
  <c r="BD14" i="5" s="1"/>
  <c r="BC6" i="5"/>
  <c r="BF6" i="5" s="1"/>
  <c r="BI6" i="5" s="1"/>
  <c r="BC14" i="5"/>
  <c r="BF14" i="5" s="1"/>
  <c r="BI14" i="5" s="1"/>
  <c r="BB16" i="5"/>
  <c r="BE16" i="5" s="1"/>
  <c r="BH16" i="5" s="1"/>
  <c r="BC73" i="5"/>
  <c r="BF73" i="5" s="1"/>
  <c r="BI73" i="5" s="1"/>
  <c r="BB70" i="5"/>
  <c r="BE70" i="5" s="1"/>
  <c r="BH70" i="5" s="1"/>
  <c r="BB6" i="5"/>
  <c r="BE6" i="5" s="1"/>
  <c r="BA10" i="5"/>
  <c r="BD10" i="5" s="1"/>
  <c r="BG10" i="5" s="1"/>
  <c r="AW65" i="5"/>
  <c r="AW24" i="5"/>
  <c r="BC70" i="5"/>
  <c r="BF70" i="5" s="1"/>
  <c r="BI70" i="5" s="1"/>
  <c r="AW68" i="5"/>
  <c r="BB41" i="5"/>
  <c r="BE41" i="5" s="1"/>
  <c r="BH41" i="5" s="1"/>
  <c r="BC56" i="5"/>
  <c r="BF56" i="5" s="1"/>
  <c r="BI56" i="5" s="1"/>
  <c r="BA59" i="5"/>
  <c r="BD59" i="5" s="1"/>
  <c r="BC25" i="5"/>
  <c r="BF25" i="5" s="1"/>
  <c r="BI25" i="5" s="1"/>
  <c r="BC59" i="5"/>
  <c r="BF59" i="5" s="1"/>
  <c r="BI59" i="5" s="1"/>
  <c r="BC31" i="5"/>
  <c r="BF31" i="5" s="1"/>
  <c r="BI31" i="5" s="1"/>
  <c r="BB25" i="5"/>
  <c r="BE25" i="5" s="1"/>
  <c r="BH25" i="5" s="1"/>
  <c r="AW41" i="5"/>
  <c r="BB67" i="5"/>
  <c r="BE67" i="5" s="1"/>
  <c r="BH67" i="5" s="1"/>
  <c r="BB31" i="5"/>
  <c r="BE31" i="5" s="1"/>
  <c r="BH31" i="5" s="1"/>
  <c r="AW25" i="5"/>
  <c r="BA41" i="5"/>
  <c r="BD41" i="5" s="1"/>
  <c r="BB28" i="5"/>
  <c r="BE28" i="5" s="1"/>
  <c r="BH28" i="5" s="1"/>
  <c r="AW67" i="5"/>
  <c r="AW31" i="5"/>
  <c r="AW56" i="5"/>
  <c r="AW59" i="5"/>
  <c r="BC37" i="5"/>
  <c r="BF37" i="5" s="1"/>
  <c r="BI37" i="5" s="1"/>
  <c r="BA9" i="5"/>
  <c r="BD9" i="5" s="1"/>
  <c r="BG9" i="5" s="1"/>
  <c r="BB54" i="5"/>
  <c r="BE54" i="5" s="1"/>
  <c r="BH54" i="5" s="1"/>
  <c r="AW29" i="5"/>
  <c r="AW37" i="5"/>
  <c r="BC9" i="5"/>
  <c r="BF9" i="5" s="1"/>
  <c r="BI9" i="5" s="1"/>
  <c r="BC54" i="5"/>
  <c r="BF54" i="5" s="1"/>
  <c r="BI54" i="5" s="1"/>
  <c r="BC51" i="5"/>
  <c r="BF51" i="5" s="1"/>
  <c r="BI51" i="5" s="1"/>
  <c r="BB10" i="5"/>
  <c r="BE10" i="5" s="1"/>
  <c r="BH10" i="5" s="1"/>
  <c r="BM32" i="5"/>
  <c r="BA65" i="5"/>
  <c r="BD65" i="5" s="1"/>
  <c r="BC12" i="5"/>
  <c r="BF12" i="5" s="1"/>
  <c r="BI12" i="5" s="1"/>
  <c r="BB51" i="5"/>
  <c r="BE51" i="5" s="1"/>
  <c r="BH51" i="5" s="1"/>
  <c r="AW10" i="5"/>
  <c r="BB65" i="5"/>
  <c r="BE65" i="5" s="1"/>
  <c r="BH65" i="5" s="1"/>
  <c r="BB29" i="5"/>
  <c r="BE29" i="5" s="1"/>
  <c r="BH29" i="5" s="1"/>
  <c r="BC28" i="5"/>
  <c r="BF28" i="5" s="1"/>
  <c r="BI28" i="5" s="1"/>
  <c r="AW12" i="5"/>
  <c r="AW70" i="5"/>
  <c r="AW51" i="5"/>
  <c r="BA29" i="5"/>
  <c r="BD29" i="5" s="1"/>
  <c r="BG29" i="5" s="1"/>
  <c r="AW28" i="5"/>
  <c r="BA12" i="5"/>
  <c r="BD12" i="5" s="1"/>
  <c r="AW15" i="5"/>
  <c r="BB15" i="5"/>
  <c r="BE15" i="5" s="1"/>
  <c r="BH15" i="5" s="1"/>
  <c r="BC15" i="5"/>
  <c r="BF15" i="5" s="1"/>
  <c r="BI15" i="5" s="1"/>
  <c r="BA15" i="5"/>
  <c r="BD15" i="5" s="1"/>
  <c r="AW50" i="5"/>
  <c r="BC50" i="5"/>
  <c r="BF50" i="5" s="1"/>
  <c r="BI50" i="5" s="1"/>
  <c r="BA50" i="5"/>
  <c r="BD50" i="5" s="1"/>
  <c r="BB50" i="5"/>
  <c r="BE50" i="5" s="1"/>
  <c r="BH50" i="5" s="1"/>
  <c r="AW55" i="5"/>
  <c r="BC55" i="5"/>
  <c r="BF55" i="5" s="1"/>
  <c r="BI55" i="5" s="1"/>
  <c r="BA55" i="5"/>
  <c r="BD55" i="5" s="1"/>
  <c r="BB55" i="5"/>
  <c r="BE55" i="5" s="1"/>
  <c r="BH55" i="5" s="1"/>
  <c r="AW57" i="5"/>
  <c r="BB57" i="5"/>
  <c r="BE57" i="5" s="1"/>
  <c r="BH57" i="5" s="1"/>
  <c r="BC57" i="5"/>
  <c r="BF57" i="5" s="1"/>
  <c r="BI57" i="5" s="1"/>
  <c r="BA57" i="5"/>
  <c r="BD57" i="5" s="1"/>
  <c r="BG53" i="5"/>
  <c r="AW39" i="5"/>
  <c r="BC39" i="5"/>
  <c r="BF39" i="5" s="1"/>
  <c r="BI39" i="5" s="1"/>
  <c r="BA39" i="5"/>
  <c r="BD39" i="5" s="1"/>
  <c r="BB39" i="5"/>
  <c r="BE39" i="5" s="1"/>
  <c r="BH39" i="5" s="1"/>
  <c r="AW13" i="5"/>
  <c r="BC13" i="5"/>
  <c r="BF13" i="5" s="1"/>
  <c r="BI13" i="5" s="1"/>
  <c r="BA13" i="5"/>
  <c r="BD13" i="5" s="1"/>
  <c r="BB13" i="5"/>
  <c r="BE13" i="5" s="1"/>
  <c r="BH13" i="5" s="1"/>
  <c r="BG62" i="5"/>
  <c r="AW75" i="5"/>
  <c r="BC75" i="5"/>
  <c r="BF75" i="5" s="1"/>
  <c r="BI75" i="5" s="1"/>
  <c r="BA75" i="5"/>
  <c r="BD75" i="5" s="1"/>
  <c r="BB75" i="5"/>
  <c r="BE75" i="5" s="1"/>
  <c r="BH75" i="5" s="1"/>
  <c r="BG67" i="5"/>
  <c r="BG69" i="5"/>
  <c r="BG31" i="5"/>
  <c r="BG56" i="5"/>
  <c r="BG20" i="5"/>
  <c r="BG68" i="5"/>
  <c r="BG25" i="5"/>
  <c r="BG37" i="5"/>
  <c r="AW48" i="5"/>
  <c r="BC48" i="5"/>
  <c r="BF48" i="5" s="1"/>
  <c r="BI48" i="5" s="1"/>
  <c r="BB48" i="5"/>
  <c r="BE48" i="5" s="1"/>
  <c r="BH48" i="5" s="1"/>
  <c r="BA48" i="5"/>
  <c r="BD48" i="5" s="1"/>
  <c r="BG51" i="5"/>
  <c r="AW34" i="5"/>
  <c r="BC34" i="5"/>
  <c r="BF34" i="5" s="1"/>
  <c r="BI34" i="5" s="1"/>
  <c r="BA34" i="5"/>
  <c r="BD34" i="5" s="1"/>
  <c r="BB34" i="5"/>
  <c r="BE34" i="5" s="1"/>
  <c r="BH34" i="5" s="1"/>
  <c r="AW23" i="5"/>
  <c r="BC23" i="5"/>
  <c r="BF23" i="5" s="1"/>
  <c r="BI23" i="5" s="1"/>
  <c r="BA23" i="5"/>
  <c r="BD23" i="5" s="1"/>
  <c r="BB23" i="5"/>
  <c r="BE23" i="5" s="1"/>
  <c r="BH23" i="5" s="1"/>
  <c r="AW61" i="5"/>
  <c r="BC61" i="5"/>
  <c r="BF61" i="5" s="1"/>
  <c r="BI61" i="5" s="1"/>
  <c r="BA61" i="5"/>
  <c r="BD61" i="5" s="1"/>
  <c r="BB61" i="5"/>
  <c r="BE61" i="5" s="1"/>
  <c r="BH61" i="5" s="1"/>
  <c r="AW36" i="5"/>
  <c r="BC36" i="5"/>
  <c r="BF36" i="5" s="1"/>
  <c r="BI36" i="5" s="1"/>
  <c r="BB36" i="5"/>
  <c r="BE36" i="5" s="1"/>
  <c r="BH36" i="5" s="1"/>
  <c r="BA36" i="5"/>
  <c r="BD36" i="5" s="1"/>
  <c r="AW42" i="5"/>
  <c r="BB42" i="5"/>
  <c r="BE42" i="5" s="1"/>
  <c r="BH42" i="5" s="1"/>
  <c r="BC42" i="5"/>
  <c r="BF42" i="5" s="1"/>
  <c r="BI42" i="5" s="1"/>
  <c r="BA42" i="5"/>
  <c r="BD42" i="5" s="1"/>
  <c r="BG35" i="5"/>
  <c r="BG28" i="5"/>
  <c r="AW43" i="5"/>
  <c r="BC43" i="5"/>
  <c r="BF43" i="5" s="1"/>
  <c r="BI43" i="5" s="1"/>
  <c r="BA43" i="5"/>
  <c r="BD43" i="5" s="1"/>
  <c r="BB43" i="5"/>
  <c r="BE43" i="5" s="1"/>
  <c r="BH43" i="5" s="1"/>
  <c r="BG70" i="5"/>
  <c r="BG27" i="5"/>
  <c r="BG40" i="5"/>
  <c r="AW66" i="5"/>
  <c r="BC66" i="5"/>
  <c r="BF66" i="5" s="1"/>
  <c r="BI66" i="5" s="1"/>
  <c r="BA66" i="5"/>
  <c r="BD66" i="5" s="1"/>
  <c r="BB66" i="5"/>
  <c r="BE66" i="5" s="1"/>
  <c r="BH66" i="5" s="1"/>
  <c r="AW17" i="5"/>
  <c r="BC17" i="5"/>
  <c r="BF17" i="5" s="1"/>
  <c r="BI17" i="5" s="1"/>
  <c r="BA17" i="5"/>
  <c r="BD17" i="5" s="1"/>
  <c r="BB17" i="5"/>
  <c r="BE17" i="5" s="1"/>
  <c r="BH17" i="5" s="1"/>
  <c r="AW33" i="5"/>
  <c r="BC33" i="5"/>
  <c r="BF33" i="5" s="1"/>
  <c r="BI33" i="5" s="1"/>
  <c r="BA33" i="5"/>
  <c r="BD33" i="5" s="1"/>
  <c r="BB33" i="5"/>
  <c r="BE33" i="5" s="1"/>
  <c r="BH33" i="5" s="1"/>
  <c r="AW64" i="5"/>
  <c r="BC64" i="5"/>
  <c r="BF64" i="5" s="1"/>
  <c r="BI64" i="5" s="1"/>
  <c r="BB64" i="5"/>
  <c r="BE64" i="5" s="1"/>
  <c r="BH64" i="5" s="1"/>
  <c r="BA64" i="5"/>
  <c r="BD64" i="5" s="1"/>
  <c r="AW47" i="5"/>
  <c r="BB47" i="5"/>
  <c r="BE47" i="5" s="1"/>
  <c r="BH47" i="5" s="1"/>
  <c r="BC47" i="5"/>
  <c r="BF47" i="5" s="1"/>
  <c r="BI47" i="5" s="1"/>
  <c r="BA47" i="5"/>
  <c r="BD47" i="5" s="1"/>
  <c r="AW74" i="5"/>
  <c r="BB74" i="5"/>
  <c r="BE74" i="5" s="1"/>
  <c r="BH74" i="5" s="1"/>
  <c r="BC74" i="5"/>
  <c r="BF74" i="5" s="1"/>
  <c r="BI74" i="5" s="1"/>
  <c r="BA74" i="5"/>
  <c r="BD74" i="5" s="1"/>
  <c r="AW18" i="5"/>
  <c r="BC18" i="5"/>
  <c r="BF18" i="5" s="1"/>
  <c r="BI18" i="5" s="1"/>
  <c r="BA18" i="5"/>
  <c r="BD18" i="5" s="1"/>
  <c r="BB18" i="5"/>
  <c r="BE18" i="5" s="1"/>
  <c r="BH18" i="5" s="1"/>
  <c r="AW44" i="5"/>
  <c r="BC44" i="5"/>
  <c r="BF44" i="5" s="1"/>
  <c r="BI44" i="5" s="1"/>
  <c r="BB44" i="5"/>
  <c r="BE44" i="5" s="1"/>
  <c r="BH44" i="5" s="1"/>
  <c r="BA44" i="5"/>
  <c r="BD44" i="5" s="1"/>
  <c r="BG46" i="5"/>
  <c r="AW77" i="5"/>
  <c r="BC77" i="5"/>
  <c r="BF77" i="5" s="1"/>
  <c r="BI77" i="5" s="1"/>
  <c r="BA77" i="5"/>
  <c r="BD77" i="5" s="1"/>
  <c r="BB77" i="5"/>
  <c r="BE77" i="5" s="1"/>
  <c r="BH77" i="5" s="1"/>
  <c r="BG32" i="5"/>
  <c r="AW11" i="5"/>
  <c r="BC11" i="5"/>
  <c r="BF11" i="5" s="1"/>
  <c r="BI11" i="5" s="1"/>
  <c r="BA11" i="5"/>
  <c r="BD11" i="5" s="1"/>
  <c r="BB11" i="5"/>
  <c r="BE11" i="5" s="1"/>
  <c r="BH11" i="5" s="1"/>
  <c r="E83" i="1"/>
  <c r="E47" i="1"/>
  <c r="E56" i="1" s="1"/>
  <c r="E108" i="1"/>
  <c r="D134" i="1"/>
  <c r="D108" i="1"/>
  <c r="D173" i="1"/>
  <c r="E82" i="1"/>
  <c r="E160" i="1"/>
  <c r="E95" i="1"/>
  <c r="D69" i="1"/>
  <c r="D95" i="1"/>
  <c r="E173" i="1"/>
  <c r="D186" i="1"/>
  <c r="D160" i="1"/>
  <c r="D43" i="1"/>
  <c r="D56" i="1"/>
  <c r="D82" i="1"/>
  <c r="D147" i="1"/>
  <c r="D199" i="1"/>
  <c r="E134" i="1"/>
  <c r="E147" i="1"/>
  <c r="E186" i="1"/>
  <c r="E199" i="1"/>
  <c r="E69" i="1"/>
  <c r="D17" i="1"/>
  <c r="BM21" i="5" l="1"/>
  <c r="BM58" i="5"/>
  <c r="BM30" i="5"/>
  <c r="BG58" i="5"/>
  <c r="BM19" i="5"/>
  <c r="BG19" i="5"/>
  <c r="BM71" i="5"/>
  <c r="BM8" i="5"/>
  <c r="BM76" i="5"/>
  <c r="BM52" i="5"/>
  <c r="BM27" i="5"/>
  <c r="BM60" i="5"/>
  <c r="BM24" i="5"/>
  <c r="BM38" i="5"/>
  <c r="BM68" i="5"/>
  <c r="BM45" i="5"/>
  <c r="BM35" i="5"/>
  <c r="BM14" i="5"/>
  <c r="BG45" i="5"/>
  <c r="BM46" i="5"/>
  <c r="BG24" i="5"/>
  <c r="BM69" i="5"/>
  <c r="BM72" i="5"/>
  <c r="BM7" i="5"/>
  <c r="BM20" i="5"/>
  <c r="BM53" i="5"/>
  <c r="BM62" i="5"/>
  <c r="BM26" i="5"/>
  <c r="BG14" i="5"/>
  <c r="BM40" i="5"/>
  <c r="BM63" i="5"/>
  <c r="BM49" i="5"/>
  <c r="BM22" i="5"/>
  <c r="BM73" i="5"/>
  <c r="BM56" i="5"/>
  <c r="P18" i="3"/>
  <c r="Q6" i="3"/>
  <c r="Q18" i="3" s="1"/>
  <c r="Q84" i="3" s="1"/>
  <c r="BM70" i="5"/>
  <c r="BM41" i="5"/>
  <c r="BM59" i="5"/>
  <c r="BM31" i="5"/>
  <c r="BM16" i="5"/>
  <c r="BM54" i="5"/>
  <c r="BM37" i="5"/>
  <c r="BG59" i="5"/>
  <c r="BM65" i="5"/>
  <c r="BG41" i="5"/>
  <c r="BM57" i="5"/>
  <c r="BM67" i="5"/>
  <c r="BM28" i="5"/>
  <c r="BG65" i="5"/>
  <c r="BM33" i="5"/>
  <c r="BM17" i="5"/>
  <c r="BM66" i="5"/>
  <c r="BM43" i="5"/>
  <c r="BM42" i="5"/>
  <c r="BM36" i="5"/>
  <c r="BM15" i="5"/>
  <c r="BM44" i="5"/>
  <c r="BM48" i="5"/>
  <c r="BM25" i="5"/>
  <c r="BM77" i="5"/>
  <c r="BM61" i="5"/>
  <c r="BM23" i="5"/>
  <c r="BM34" i="5"/>
  <c r="BM12" i="5"/>
  <c r="BM51" i="5"/>
  <c r="BM74" i="5"/>
  <c r="BM75" i="5"/>
  <c r="BM13" i="5"/>
  <c r="BM55" i="5"/>
  <c r="BM50" i="5"/>
  <c r="BM6" i="5"/>
  <c r="BM10" i="5"/>
  <c r="BM9" i="5"/>
  <c r="BM11" i="5"/>
  <c r="BM18" i="5"/>
  <c r="BM47" i="5"/>
  <c r="BM64" i="5"/>
  <c r="BG12" i="5"/>
  <c r="BM39" i="5"/>
  <c r="BM29" i="5"/>
  <c r="AW78" i="5"/>
  <c r="BA78" i="5"/>
  <c r="BC78" i="5"/>
  <c r="BB78" i="5"/>
  <c r="BH6" i="5"/>
  <c r="BG11" i="5"/>
  <c r="BG77" i="5"/>
  <c r="BG18" i="5"/>
  <c r="BG33" i="5"/>
  <c r="BG17" i="5"/>
  <c r="BG66" i="5"/>
  <c r="BG43" i="5"/>
  <c r="BG15" i="5"/>
  <c r="BG44" i="5"/>
  <c r="BG42" i="5"/>
  <c r="BG36" i="5"/>
  <c r="BG75" i="5"/>
  <c r="BG13" i="5"/>
  <c r="BG55" i="5"/>
  <c r="BG50" i="5"/>
  <c r="BG61" i="5"/>
  <c r="BG23" i="5"/>
  <c r="BG34" i="5"/>
  <c r="BG57" i="5"/>
  <c r="BG74" i="5"/>
  <c r="BE78" i="5"/>
  <c r="BG47" i="5"/>
  <c r="BG64" i="5"/>
  <c r="BF78" i="5"/>
  <c r="BG48" i="5"/>
  <c r="BD78" i="5"/>
  <c r="BG39" i="5"/>
  <c r="E31" i="1"/>
  <c r="E43" i="1" s="1"/>
  <c r="E18" i="1"/>
  <c r="E30" i="1" s="1"/>
  <c r="D18" i="1"/>
  <c r="D30" i="1" s="1"/>
  <c r="E14" i="1"/>
  <c r="E17" i="1" s="1"/>
  <c r="BM78" i="5" l="1"/>
</calcChain>
</file>

<file path=xl/sharedStrings.xml><?xml version="1.0" encoding="utf-8"?>
<sst xmlns="http://schemas.openxmlformats.org/spreadsheetml/2006/main" count="855" uniqueCount="274">
  <si>
    <t>PRODUCT</t>
  </si>
  <si>
    <t>FAT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</si>
  <si>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</si>
  <si>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</si>
  <si>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</si>
  <si>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</si>
  <si>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</si>
  <si>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</si>
  <si>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</si>
  <si>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</si>
  <si>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</si>
  <si>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</si>
  <si>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</si>
  <si>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</si>
  <si>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</si>
  <si>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SNF</t>
  </si>
  <si>
    <t>Fortification</t>
  </si>
  <si>
    <t>Pool Pounds</t>
  </si>
  <si>
    <t>Product</t>
  </si>
  <si>
    <t>Fat</t>
  </si>
  <si>
    <t>Class 1</t>
  </si>
  <si>
    <t>Class 2</t>
  </si>
  <si>
    <t>Class 3</t>
  </si>
  <si>
    <t>Class 4a</t>
  </si>
  <si>
    <t>Class 4b</t>
  </si>
  <si>
    <t>Total</t>
  </si>
  <si>
    <t>Fluid Carrier</t>
  </si>
  <si>
    <t>Powder</t>
  </si>
  <si>
    <t>Dollars</t>
  </si>
  <si>
    <t>Condensed Skim</t>
  </si>
  <si>
    <t>Producer Handler Exempt Class 1</t>
  </si>
  <si>
    <t>Pounds SNF</t>
  </si>
  <si>
    <t>Transportation Allowance</t>
  </si>
  <si>
    <t>Component Pounds shows the pounds of Fat, SNF and Class 1 Fluid carrier included in the pool.</t>
  </si>
  <si>
    <t>Fortification shows the lbs of SNF in powder and condensed skim used to fortify Class 1 products, and the allowance to handlers for doing so.</t>
  </si>
  <si>
    <t>Transportation Allowances show the dollars paid to producers on milk moved to Northern Ca and Southern Ca plants.</t>
  </si>
  <si>
    <t>Year</t>
  </si>
  <si>
    <t>Month</t>
  </si>
  <si>
    <t>NOTES</t>
  </si>
  <si>
    <t>Summary of Fortification and Transportation Allowance</t>
  </si>
  <si>
    <t>Northern Calif.</t>
  </si>
  <si>
    <t>Southern Calif.</t>
  </si>
  <si>
    <t>Allowance
(In Dollars)</t>
  </si>
  <si>
    <t>Summary of Pool Pounds, Component Pounds, Producer Handler Exempt Class 1 (All In Pounds)</t>
  </si>
  <si>
    <t>Source: CDFA Milk Pooling Branch</t>
  </si>
  <si>
    <t>Pooled Component Pounds</t>
  </si>
  <si>
    <t>Producer Handler Type 70 Exempt Class 1 is the pounds of milk, fat and SNF produced by partially exempt handlers and that qualified for the exemption.</t>
  </si>
  <si>
    <t>Pool pounds is the pounds of milk, fat and SNF paid out to producers.</t>
  </si>
  <si>
    <t>Class 1 and 2  have been reduced by plant overage, with half being allocated to each.</t>
  </si>
  <si>
    <t>Pool Usage Percentages</t>
  </si>
  <si>
    <t>Bulk inventory variance has been included in Class 4a pounds and revenue.</t>
  </si>
  <si>
    <t>Summary of Pool Usage Percentages</t>
  </si>
  <si>
    <t>Class I Skim</t>
  </si>
  <si>
    <t>Class I Fat</t>
  </si>
  <si>
    <t>Class II SNF</t>
  </si>
  <si>
    <t>Class II fat</t>
  </si>
  <si>
    <t>Class IV SNF</t>
  </si>
  <si>
    <t>Butterfat</t>
  </si>
  <si>
    <t>Protein</t>
  </si>
  <si>
    <t>Other Solids</t>
  </si>
  <si>
    <t>Class I</t>
  </si>
  <si>
    <t>Class II</t>
  </si>
  <si>
    <t>Class III</t>
  </si>
  <si>
    <t>Class IV</t>
  </si>
  <si>
    <t>Receipts</t>
  </si>
  <si>
    <t>Class I location</t>
  </si>
  <si>
    <t>Deductions</t>
  </si>
  <si>
    <t>MA Fee</t>
  </si>
  <si>
    <t xml:space="preserve">Total </t>
  </si>
  <si>
    <t>Quota (net of RQA)</t>
  </si>
  <si>
    <t>Net to Producers</t>
  </si>
  <si>
    <t>Class III Value</t>
  </si>
  <si>
    <t>PPD Total</t>
  </si>
  <si>
    <t>PPD/cwt.</t>
  </si>
  <si>
    <t>% PPD F</t>
  </si>
  <si>
    <t>% PPD P</t>
  </si>
  <si>
    <t>% PPD OS</t>
  </si>
  <si>
    <t>$ PPD F</t>
  </si>
  <si>
    <t>$ PPD P</t>
  </si>
  <si>
    <t>$ PPD OS</t>
  </si>
  <si>
    <t>$ PPD/lb P</t>
  </si>
  <si>
    <t>$ PPD/lb F</t>
  </si>
  <si>
    <t>$ PPD/lb OS</t>
  </si>
  <si>
    <t>Producer F$</t>
  </si>
  <si>
    <t>Producer P$</t>
  </si>
  <si>
    <t>Producer OS$</t>
  </si>
  <si>
    <t>Pool Protein lbs</t>
  </si>
  <si>
    <t>Pool OS lbs</t>
  </si>
  <si>
    <t>4b Protein lbs</t>
  </si>
  <si>
    <t>4b OS lbs</t>
  </si>
  <si>
    <t>Protein and Other Solids</t>
  </si>
  <si>
    <t>Pool Fat %</t>
  </si>
  <si>
    <t>Pool Protein %</t>
  </si>
  <si>
    <t>Pool OS %</t>
  </si>
  <si>
    <t>Fortification SNF Pounds</t>
  </si>
  <si>
    <t>Total Class I SNF</t>
  </si>
  <si>
    <t>SNF From Producer Milk</t>
  </si>
  <si>
    <t>Fortification Pounds Required +2 SD</t>
  </si>
  <si>
    <t>Fortification $$ Required +2 SD</t>
  </si>
  <si>
    <t>Fortification Savings</t>
  </si>
  <si>
    <t>Source: CDFA Milk Pooling Branch (Columns A through I)</t>
  </si>
  <si>
    <t>Source: CDFA Milk Pooling Branch Summary of Pool Pounds, Component Pounds, Producer Handler Exempt Class 1 (Column N &amp; Carrier Pounds used in Column O)</t>
  </si>
  <si>
    <r>
      <t xml:space="preserve">Source: http://www.fmma30.com/Homepage/FO30_STAFF_PAPERS.htm </t>
    </r>
    <r>
      <rPr>
        <b/>
        <i/>
        <sz val="9"/>
        <color theme="1"/>
        <rFont val="Calibri"/>
        <family val="2"/>
        <scheme val="minor"/>
      </rPr>
      <t>Analysis of Component Levels and Somatic Cell Count (Standard Deviation of SNF)</t>
    </r>
  </si>
  <si>
    <t>PPD/cwt. +2 SD</t>
  </si>
  <si>
    <t>% F +2 SD</t>
  </si>
  <si>
    <t>% P +2 SD</t>
  </si>
  <si>
    <t>% OS +2 SD</t>
  </si>
  <si>
    <t>Transportation (Net)</t>
  </si>
  <si>
    <t xml:space="preserve">Sources: </t>
  </si>
  <si>
    <t>CDFA Milk Pooling Branch</t>
  </si>
  <si>
    <t>FMMO Prices</t>
  </si>
  <si>
    <t>USDA Dairy Programs</t>
  </si>
  <si>
    <t>Class and Component Prices</t>
  </si>
  <si>
    <t>Pooled pounds</t>
  </si>
  <si>
    <t>Transportation Credits &amp; Allowance</t>
  </si>
  <si>
    <t>Fortification Allowance</t>
  </si>
  <si>
    <t>Quota premium</t>
  </si>
  <si>
    <t>Class I sales in Northern &amp; Southern California (used for Location Differential)</t>
  </si>
  <si>
    <t>Dairy Markets and Policy Information Letter Series</t>
  </si>
  <si>
    <t>Information Letter IL 15.01</t>
  </si>
  <si>
    <t>Dr. John Newton</t>
  </si>
  <si>
    <t>% PPD F, % PPD P, % PPD OS</t>
  </si>
  <si>
    <t>http://www.dairymarkets.org/PubPod/Pubs/IL15-01.pdf</t>
  </si>
  <si>
    <t>Transportation Credit</t>
  </si>
  <si>
    <t>Total Transportation</t>
  </si>
  <si>
    <t>Transportation Allowances show the dollars paid to producers on milk moved to Northern CA and Southern CA plants.</t>
  </si>
  <si>
    <t>Product and Month</t>
  </si>
  <si>
    <t>By Month</t>
  </si>
  <si>
    <t>In Gallons</t>
  </si>
  <si>
    <t/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</si>
  <si>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</si>
  <si>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</si>
  <si>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</si>
  <si>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</si>
  <si>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</si>
  <si>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</si>
  <si>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</si>
  <si>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</si>
  <si>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</si>
  <si>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</si>
  <si>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</si>
  <si>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</si>
  <si>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Subtotal All Beverage Milks</t>
  </si>
  <si>
    <t>Northern California</t>
  </si>
  <si>
    <t>Southern California</t>
  </si>
  <si>
    <t>Northern:Southern Ratio</t>
  </si>
  <si>
    <t>Average Ratio</t>
  </si>
  <si>
    <t>Weighted Average</t>
  </si>
  <si>
    <t>Producer Component %</t>
  </si>
  <si>
    <t>% SNF in Producer Skim Milk</t>
  </si>
  <si>
    <t>SNF % in Producer Skim Milk +2 SD</t>
  </si>
  <si>
    <t>SNF Pounds in Producer Skim Milk +2 SD</t>
  </si>
  <si>
    <t>Average</t>
  </si>
  <si>
    <t>Averages</t>
  </si>
  <si>
    <t>Annual average</t>
  </si>
  <si>
    <t>Pounds Producer Skim Milk</t>
  </si>
  <si>
    <t>Sources: CDFA Milk Pooling Branch</t>
  </si>
  <si>
    <t>Class I Differential Northern California</t>
  </si>
  <si>
    <t>Class I Differential Southern California</t>
  </si>
  <si>
    <t>$1.80/cwt.</t>
  </si>
  <si>
    <t>$2.10/cwt.</t>
  </si>
  <si>
    <t>Fortification $$</t>
  </si>
  <si>
    <t>2009-2014</t>
  </si>
  <si>
    <t>% F</t>
  </si>
  <si>
    <t>% P</t>
  </si>
  <si>
    <t>% OS</t>
  </si>
  <si>
    <t>% SNF</t>
  </si>
  <si>
    <t>P/SNF</t>
  </si>
  <si>
    <t>Average P/SNF</t>
  </si>
  <si>
    <t>Jan.</t>
  </si>
  <si>
    <t>Feb.</t>
  </si>
  <si>
    <t>Apr.</t>
  </si>
  <si>
    <t>Aug.</t>
  </si>
  <si>
    <t>Sept.</t>
  </si>
  <si>
    <t>Oct.</t>
  </si>
  <si>
    <t>Nov.</t>
  </si>
  <si>
    <t>Dec.</t>
  </si>
  <si>
    <r>
      <t>Source: http://www.fmma30.com/Homepage/FO30_STAFF_PAPERS.htm (</t>
    </r>
    <r>
      <rPr>
        <i/>
        <sz val="11"/>
        <color theme="1"/>
        <rFont val="Calibri"/>
        <family val="2"/>
        <scheme val="minor"/>
      </rPr>
      <t>Analysis of Component Levels and Somatgic Cell Count)</t>
    </r>
  </si>
  <si>
    <t>Average:</t>
  </si>
  <si>
    <t>Standard Deviation:</t>
  </si>
  <si>
    <t>Average Standard Deviation</t>
  </si>
  <si>
    <t>Table 2</t>
  </si>
  <si>
    <t>Van Slyke Cheese Yield Formula</t>
  </si>
  <si>
    <t>Cheese Yield = ((Butterfat * .90) + (True Protein * .827 - 0.1)) * 1.09</t>
  </si>
  <si>
    <t xml:space="preserve">Producer Milk </t>
  </si>
  <si>
    <t>CA Average</t>
  </si>
  <si>
    <t>+2 SD</t>
  </si>
  <si>
    <t>Butterfat %</t>
  </si>
  <si>
    <t>True Protein %</t>
  </si>
  <si>
    <t>Cheese Yield</t>
  </si>
  <si>
    <t>Whey Protein</t>
  </si>
  <si>
    <t>True protein *.827-.01</t>
  </si>
  <si>
    <t>Protein in cheese</t>
  </si>
  <si>
    <t>Protein in whey</t>
  </si>
  <si>
    <t>Source: CDFA Milk Pooling Branch Summary of Pool Pounds and Component Pounds</t>
  </si>
  <si>
    <t>Nonfat Dry Milk</t>
  </si>
  <si>
    <t>SMP</t>
  </si>
  <si>
    <t>WMP</t>
  </si>
  <si>
    <t>SMP &amp; WMP as % of Total</t>
  </si>
  <si>
    <t>Pounds (1,000)</t>
  </si>
  <si>
    <t>Source:  USDA NASS Dairy Products Annual Summary</t>
  </si>
  <si>
    <t>http://usda.mannlib.cornell.edu/MannUsda/viewDocumentInfo.do?documentID=1054</t>
  </si>
  <si>
    <t>Table 4</t>
  </si>
  <si>
    <t>In Pounds</t>
  </si>
  <si>
    <t>Nonfat Dried Milk, Human Consumption</t>
  </si>
  <si>
    <t>Other Dry Milk Products ¹</t>
  </si>
  <si>
    <t>Table 5</t>
  </si>
  <si>
    <t>Protein in Skim</t>
  </si>
  <si>
    <t>Average Milk (Pounds)</t>
  </si>
  <si>
    <t>+2 SD (Pounds)</t>
  </si>
  <si>
    <t>Producer milk</t>
  </si>
  <si>
    <t>Pounds</t>
  </si>
  <si>
    <t>True Protein</t>
  </si>
  <si>
    <t>Crude Protein</t>
  </si>
  <si>
    <t>Total Solids</t>
  </si>
  <si>
    <t>Cream (40% F)</t>
  </si>
  <si>
    <t>Cream</t>
  </si>
  <si>
    <t>Milk after cream removal</t>
  </si>
  <si>
    <t>Pounds Skim</t>
  </si>
  <si>
    <t>Pounds NDM</t>
  </si>
  <si>
    <t xml:space="preserve"> (5% moisture)</t>
  </si>
  <si>
    <t>Crude Protein %</t>
  </si>
  <si>
    <t>Pounds SMP</t>
  </si>
  <si>
    <t xml:space="preserve">  (34% CP)</t>
  </si>
  <si>
    <t>US Whey Production (1,000 pounds)</t>
  </si>
  <si>
    <t>Dry Whey</t>
  </si>
  <si>
    <t>WPC 25.0-49.9%</t>
  </si>
  <si>
    <t>WPC 50.0-89-9%</t>
  </si>
  <si>
    <t>WPI</t>
  </si>
  <si>
    <t>% Protein*</t>
  </si>
  <si>
    <t xml:space="preserve">Product </t>
  </si>
  <si>
    <t xml:space="preserve">Protein </t>
  </si>
  <si>
    <t>Protein in Dry Whey</t>
  </si>
  <si>
    <t>Protein in WPC &amp; WPI</t>
  </si>
  <si>
    <t>Protein in Dry Whey as % of Total Whey Protein</t>
  </si>
  <si>
    <t>* % protein on a wet matter basis</t>
  </si>
  <si>
    <t>Table 1</t>
  </si>
  <si>
    <t>Monthly Component Levels in Producer Milk - FMMO 30</t>
  </si>
  <si>
    <t>Pool SNF %</t>
  </si>
  <si>
    <t>100 Pounds</t>
  </si>
  <si>
    <t>Table 3</t>
  </si>
  <si>
    <t>Manufacture of Selected Class 4A Products in California</t>
  </si>
  <si>
    <t>Year-to-Date</t>
  </si>
  <si>
    <t>Other Dry Milk Products as a Percentage of Total</t>
  </si>
  <si>
    <r>
      <rPr>
        <sz val="9"/>
        <color rgb="FF000000"/>
        <rFont val="Arial"/>
        <family val="2"/>
      </rPr>
      <t xml:space="preserve">¹  </t>
    </r>
    <r>
      <rPr>
        <sz val="9"/>
        <color rgb="FF000000"/>
        <rFont val="Arial"/>
        <family val="2"/>
      </rPr>
      <t>Other Dry Milk Products include: Dry Whole Milk; Dry Buttermilk; Skim Milk Powder (30-40% Protein); Skim Milk Powder Blends (Fat-Filled Powder); Milk Protein Concentrate, Dry; Milk Protein Isolate, Dry (90% Protein); Casein, Dry; Caseinates, Dry; Dry Nonfat Milk (Animal Feed); and other Dry Milk Products.</t>
    </r>
  </si>
  <si>
    <t>Source:  CDFA Milk Pooling Branch, "Annual Dairy Data"</t>
  </si>
  <si>
    <t>Table 6</t>
  </si>
  <si>
    <t>Table 7</t>
  </si>
  <si>
    <t>Table 8</t>
  </si>
  <si>
    <t>Table 9</t>
  </si>
  <si>
    <r>
      <t>Source: http://www.fmma30.com/Homepage/FO30_STAFF_PAPERS.htm (</t>
    </r>
    <r>
      <rPr>
        <i/>
        <sz val="11"/>
        <color theme="1"/>
        <rFont val="Calibri"/>
        <family val="2"/>
        <scheme val="minor"/>
      </rPr>
      <t>Analysis of Component Levels and Somatic Cell Count)</t>
    </r>
  </si>
  <si>
    <t>Table 10</t>
  </si>
  <si>
    <t>Table 11</t>
  </si>
  <si>
    <t>US Production of Milk Powders</t>
  </si>
  <si>
    <t>Class 1 Sales
January 2009 - December 2010</t>
  </si>
  <si>
    <t>JAN</t>
  </si>
  <si>
    <t>FEB</t>
  </si>
  <si>
    <t>MAR</t>
  </si>
  <si>
    <t>APR</t>
  </si>
  <si>
    <t>AUG</t>
  </si>
  <si>
    <t>SEP</t>
  </si>
  <si>
    <t>OCT</t>
  </si>
  <si>
    <t>NOV</t>
  </si>
  <si>
    <t>DEC</t>
  </si>
  <si>
    <t>Table 12</t>
  </si>
  <si>
    <t>U.S. Milk Solids Exported</t>
  </si>
  <si>
    <t>Dairy Exports From CA</t>
  </si>
  <si>
    <t>U.S. Milk Production From CA</t>
  </si>
  <si>
    <t>California Milk Solids Exported</t>
  </si>
  <si>
    <t>%</t>
  </si>
  <si>
    <t>Sources:</t>
  </si>
  <si>
    <t>National Milk Producers Federation</t>
  </si>
  <si>
    <t>http://www.nass.usda.gov/Statistics_by_State/California/Publications/California_Ag_Statistics/Reports/2013cas-all.pdf (pages 68 and 69)</t>
  </si>
  <si>
    <t>Summary of Transportation Allowance and Credits, January 2009-December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</si>
</sst>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_(&quot;$&quot;* #,##0.0000_);_(&quot;$&quot;* \(#,##0.0000\);_(&quot;$&quot;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[$-10409]#,##0;\(#,##0\)"/>
    <numFmt numFmtId="170" formatCode="_(* #,##0.000_);_(* \(#,##0.0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14"/>
      <color rgb="FF4682B4"/>
      <name val="Tahoma"/>
      <family val="2"/>
    </font>
    <font>
      <sz val="11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u/>
      <sz val="11"/>
      <name val="Calibri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u/>
      <sz val="9"/>
      <color theme="1"/>
      <name val="Arial"/>
      <family val="2"/>
    </font>
    <font>
      <u val="singleAccounting"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4682B4"/>
      <name val="Tahoma"/>
      <family val="2"/>
    </font>
    <font>
      <b/>
      <sz val="12"/>
      <color rgb="FF4682B4"/>
      <name val="Tahom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47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5" fillId="0" borderId="7" xfId="0" applyNumberFormat="1" applyFont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left" vertical="center"/>
    </xf>
    <xf numFmtId="37" fontId="2" fillId="0" borderId="20" xfId="0" applyNumberFormat="1" applyFont="1" applyBorder="1" applyAlignment="1" applyProtection="1">
      <alignment vertical="center"/>
    </xf>
    <xf numFmtId="0" fontId="0" fillId="0" borderId="20" xfId="0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4" fontId="7" fillId="0" borderId="7" xfId="0" applyNumberFormat="1" applyFont="1" applyBorder="1" applyAlignment="1" applyProtection="1">
      <alignment horizontal="left" vertical="center"/>
    </xf>
    <xf numFmtId="0" fontId="6" fillId="0" borderId="42" xfId="0" applyFont="1" applyBorder="1" applyAlignment="1">
      <alignment horizontal="center" vertical="center"/>
    </xf>
    <xf numFmtId="164" fontId="7" fillId="0" borderId="43" xfId="0" applyNumberFormat="1" applyFont="1" applyBorder="1" applyAlignment="1" applyProtection="1">
      <alignment horizontal="left" vertical="center"/>
    </xf>
    <xf numFmtId="0" fontId="3" fillId="0" borderId="7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37" fontId="5" fillId="0" borderId="16" xfId="0" applyNumberFormat="1" applyFont="1" applyBorder="1" applyAlignment="1" applyProtection="1">
      <alignment vertical="center"/>
    </xf>
    <xf numFmtId="37" fontId="5" fillId="0" borderId="11" xfId="0" applyNumberFormat="1" applyFont="1" applyBorder="1" applyAlignment="1" applyProtection="1">
      <alignment vertical="center"/>
    </xf>
    <xf numFmtId="37" fontId="5" fillId="0" borderId="17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5" xfId="0" applyNumberFormat="1" applyFont="1" applyBorder="1" applyAlignment="1" applyProtection="1">
      <alignment vertical="center"/>
    </xf>
    <xf numFmtId="37" fontId="5" fillId="0" borderId="21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7" fillId="0" borderId="42" xfId="0" applyNumberFormat="1" applyFont="1" applyBorder="1" applyAlignment="1" applyProtection="1">
      <alignment vertical="center"/>
    </xf>
    <xf numFmtId="37" fontId="7" fillId="0" borderId="44" xfId="0" applyNumberFormat="1" applyFont="1" applyBorder="1" applyAlignment="1" applyProtection="1">
      <alignment vertical="center"/>
    </xf>
    <xf numFmtId="37" fontId="7" fillId="0" borderId="45" xfId="0" applyNumberFormat="1" applyFont="1" applyBorder="1" applyAlignment="1" applyProtection="1">
      <alignment vertical="center"/>
    </xf>
    <xf numFmtId="37" fontId="7" fillId="0" borderId="43" xfId="0" applyNumberFormat="1" applyFont="1" applyBorder="1" applyAlignment="1" applyProtection="1">
      <alignment vertical="center"/>
    </xf>
    <xf numFmtId="37" fontId="7" fillId="0" borderId="46" xfId="0" applyNumberFormat="1" applyFont="1" applyBorder="1" applyAlignment="1" applyProtection="1">
      <alignment vertical="center"/>
    </xf>
    <xf numFmtId="37" fontId="7" fillId="0" borderId="47" xfId="0" applyNumberFormat="1" applyFont="1" applyBorder="1" applyAlignment="1" applyProtection="1">
      <alignment vertical="center"/>
    </xf>
    <xf numFmtId="37" fontId="7" fillId="0" borderId="48" xfId="0" applyNumberFormat="1" applyFont="1" applyBorder="1" applyAlignment="1" applyProtection="1">
      <alignment vertical="center"/>
    </xf>
    <xf numFmtId="37" fontId="7" fillId="0" borderId="49" xfId="0" applyNumberFormat="1" applyFont="1" applyBorder="1" applyAlignment="1" applyProtection="1">
      <alignment vertical="center"/>
    </xf>
    <xf numFmtId="37" fontId="5" fillId="0" borderId="18" xfId="0" applyNumberFormat="1" applyFont="1" applyBorder="1" applyAlignment="1" applyProtection="1">
      <alignment vertical="center"/>
    </xf>
    <xf numFmtId="37" fontId="5" fillId="0" borderId="13" xfId="0" applyNumberFormat="1" applyFont="1" applyBorder="1" applyAlignment="1" applyProtection="1">
      <alignment vertical="center"/>
    </xf>
    <xf numFmtId="37" fontId="5" fillId="0" borderId="19" xfId="0" applyNumberFormat="1" applyFont="1" applyBorder="1" applyAlignment="1" applyProtection="1">
      <alignment vertical="center"/>
    </xf>
    <xf numFmtId="37" fontId="5" fillId="0" borderId="7" xfId="0" applyNumberFormat="1" applyFont="1" applyBorder="1" applyAlignment="1" applyProtection="1">
      <alignment vertical="center"/>
    </xf>
    <xf numFmtId="37" fontId="5" fillId="0" borderId="24" xfId="0" applyNumberFormat="1" applyFont="1" applyBorder="1" applyAlignment="1" applyProtection="1">
      <alignment vertical="center"/>
    </xf>
    <xf numFmtId="37" fontId="5" fillId="0" borderId="10" xfId="0" applyNumberFormat="1" applyFont="1" applyBorder="1" applyAlignment="1" applyProtection="1">
      <alignment vertical="center"/>
    </xf>
    <xf numFmtId="37" fontId="5" fillId="0" borderId="22" xfId="0" applyNumberFormat="1" applyFont="1" applyBorder="1" applyAlignment="1" applyProtection="1">
      <alignment vertical="center"/>
    </xf>
    <xf numFmtId="37" fontId="5" fillId="0" borderId="9" xfId="0" applyNumberFormat="1" applyFont="1" applyBorder="1" applyAlignment="1" applyProtection="1">
      <alignment vertical="center"/>
    </xf>
    <xf numFmtId="37" fontId="7" fillId="0" borderId="18" xfId="0" applyNumberFormat="1" applyFont="1" applyBorder="1" applyAlignment="1" applyProtection="1">
      <alignment vertical="center"/>
    </xf>
    <xf numFmtId="37" fontId="7" fillId="0" borderId="13" xfId="0" applyNumberFormat="1" applyFont="1" applyBorder="1" applyAlignment="1" applyProtection="1">
      <alignment vertical="center"/>
    </xf>
    <xf numFmtId="37" fontId="7" fillId="0" borderId="19" xfId="0" applyNumberFormat="1" applyFont="1" applyBorder="1" applyAlignment="1" applyProtection="1">
      <alignment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24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37" fontId="7" fillId="0" borderId="22" xfId="0" applyNumberFormat="1" applyFont="1" applyBorder="1" applyAlignment="1" applyProtection="1">
      <alignment vertical="center"/>
    </xf>
    <xf numFmtId="37" fontId="7" fillId="0" borderId="9" xfId="0" applyNumberFormat="1" applyFont="1" applyBorder="1" applyAlignment="1" applyProtection="1">
      <alignment vertical="center"/>
    </xf>
    <xf numFmtId="37" fontId="5" fillId="0" borderId="16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7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7" fontId="5" fillId="0" borderId="23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21" xfId="0" applyNumberFormat="1" applyFont="1" applyFill="1" applyBorder="1" applyAlignment="1" applyProtection="1">
      <alignment vertical="center"/>
    </xf>
    <xf numFmtId="37" fontId="5" fillId="0" borderId="8" xfId="0" applyNumberFormat="1" applyFont="1" applyFill="1" applyBorder="1" applyAlignment="1" applyProtection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4" fontId="12" fillId="0" borderId="29" xfId="0" applyNumberFormat="1" applyFont="1" applyBorder="1" applyAlignment="1" applyProtection="1">
      <alignment horizontal="center" vertical="center"/>
    </xf>
    <xf numFmtId="164" fontId="12" fillId="0" borderId="28" xfId="0" applyNumberFormat="1" applyFont="1" applyBorder="1" applyAlignment="1" applyProtection="1">
      <alignment horizontal="center" vertical="center"/>
    </xf>
    <xf numFmtId="164" fontId="12" fillId="0" borderId="30" xfId="0" applyNumberFormat="1" applyFont="1" applyBorder="1" applyAlignment="1" applyProtection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64" fontId="5" fillId="0" borderId="74" xfId="0" applyNumberFormat="1" applyFont="1" applyBorder="1" applyAlignment="1" applyProtection="1">
      <alignment horizontal="left" vertical="center"/>
    </xf>
    <xf numFmtId="0" fontId="4" fillId="0" borderId="41" xfId="0" applyFont="1" applyBorder="1" applyAlignment="1">
      <alignment horizontal="center" vertical="center"/>
    </xf>
    <xf numFmtId="164" fontId="5" fillId="0" borderId="77" xfId="0" applyNumberFormat="1" applyFont="1" applyBorder="1" applyAlignment="1" applyProtection="1">
      <alignment horizontal="left" vertical="center"/>
    </xf>
    <xf numFmtId="0" fontId="4" fillId="0" borderId="78" xfId="0" applyFont="1" applyBorder="1" applyAlignment="1">
      <alignment horizontal="center" vertical="center"/>
    </xf>
    <xf numFmtId="164" fontId="5" fillId="0" borderId="79" xfId="0" applyNumberFormat="1" applyFont="1" applyBorder="1" applyAlignment="1" applyProtection="1">
      <alignment horizontal="left" vertical="center"/>
    </xf>
    <xf numFmtId="0" fontId="4" fillId="0" borderId="14" xfId="0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left" vertical="center"/>
    </xf>
    <xf numFmtId="0" fontId="4" fillId="0" borderId="82" xfId="0" applyFont="1" applyBorder="1" applyAlignment="1">
      <alignment horizontal="center" vertical="center"/>
    </xf>
    <xf numFmtId="164" fontId="5" fillId="0" borderId="83" xfId="0" applyNumberFormat="1" applyFont="1" applyBorder="1" applyAlignment="1" applyProtection="1">
      <alignment horizontal="left" vertical="center"/>
    </xf>
    <xf numFmtId="0" fontId="4" fillId="0" borderId="86" xfId="0" applyFont="1" applyBorder="1" applyAlignment="1">
      <alignment horizontal="center" vertical="center"/>
    </xf>
    <xf numFmtId="164" fontId="5" fillId="0" borderId="87" xfId="0" applyNumberFormat="1" applyFont="1" applyBorder="1" applyAlignment="1" applyProtection="1">
      <alignment horizontal="left" vertical="center"/>
    </xf>
    <xf numFmtId="165" fontId="0" fillId="0" borderId="80" xfId="2" applyNumberFormat="1" applyFont="1" applyBorder="1" applyAlignment="1">
      <alignment vertical="center"/>
    </xf>
    <xf numFmtId="165" fontId="0" fillId="0" borderId="80" xfId="0" applyNumberFormat="1" applyBorder="1" applyAlignment="1">
      <alignment vertical="center"/>
    </xf>
    <xf numFmtId="165" fontId="0" fillId="0" borderId="81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73" xfId="2" applyNumberFormat="1" applyFont="1" applyBorder="1" applyAlignment="1">
      <alignment vertical="center"/>
    </xf>
    <xf numFmtId="165" fontId="0" fillId="0" borderId="73" xfId="0" applyNumberFormat="1" applyBorder="1" applyAlignment="1">
      <alignment vertical="center"/>
    </xf>
    <xf numFmtId="165" fontId="0" fillId="0" borderId="56" xfId="0" applyNumberFormat="1" applyBorder="1" applyAlignment="1">
      <alignment vertical="center"/>
    </xf>
    <xf numFmtId="165" fontId="0" fillId="0" borderId="71" xfId="2" applyNumberFormat="1" applyFont="1" applyBorder="1" applyAlignment="1">
      <alignment vertical="center"/>
    </xf>
    <xf numFmtId="165" fontId="0" fillId="0" borderId="71" xfId="0" applyNumberFormat="1" applyBorder="1" applyAlignment="1">
      <alignment vertical="center"/>
    </xf>
    <xf numFmtId="165" fontId="0" fillId="0" borderId="72" xfId="0" applyNumberFormat="1" applyBorder="1" applyAlignment="1">
      <alignment vertical="center"/>
    </xf>
    <xf numFmtId="165" fontId="0" fillId="0" borderId="84" xfId="2" applyNumberFormat="1" applyFont="1" applyBorder="1" applyAlignment="1">
      <alignment vertical="center"/>
    </xf>
    <xf numFmtId="165" fontId="0" fillId="0" borderId="84" xfId="0" applyNumberFormat="1" applyBorder="1" applyAlignment="1">
      <alignment vertical="center"/>
    </xf>
    <xf numFmtId="165" fontId="0" fillId="0" borderId="85" xfId="0" applyNumberFormat="1" applyBorder="1" applyAlignment="1">
      <alignment vertical="center"/>
    </xf>
    <xf numFmtId="165" fontId="0" fillId="0" borderId="88" xfId="2" applyNumberFormat="1" applyFont="1" applyBorder="1" applyAlignment="1">
      <alignment vertical="center"/>
    </xf>
    <xf numFmtId="165" fontId="0" fillId="0" borderId="88" xfId="0" applyNumberFormat="1" applyBorder="1" applyAlignment="1">
      <alignment vertical="center"/>
    </xf>
    <xf numFmtId="165" fontId="0" fillId="0" borderId="89" xfId="0" applyNumberFormat="1" applyBorder="1" applyAlignment="1">
      <alignment vertical="center"/>
    </xf>
    <xf numFmtId="165" fontId="0" fillId="0" borderId="28" xfId="2" applyNumberFormat="1" applyFont="1" applyBorder="1" applyAlignment="1">
      <alignment vertical="center"/>
    </xf>
    <xf numFmtId="165" fontId="0" fillId="0" borderId="28" xfId="0" applyNumberFormat="1" applyBorder="1" applyAlignment="1">
      <alignment vertical="center"/>
    </xf>
    <xf numFmtId="165" fontId="0" fillId="0" borderId="67" xfId="0" applyNumberForma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65" fontId="0" fillId="0" borderId="90" xfId="2" applyNumberFormat="1" applyFont="1" applyBorder="1" applyAlignment="1">
      <alignment vertical="center"/>
    </xf>
    <xf numFmtId="165" fontId="0" fillId="0" borderId="65" xfId="2" applyNumberFormat="1" applyFont="1" applyBorder="1" applyAlignment="1">
      <alignment vertical="center"/>
    </xf>
    <xf numFmtId="165" fontId="0" fillId="0" borderId="91" xfId="2" applyNumberFormat="1" applyFont="1" applyBorder="1" applyAlignment="1">
      <alignment vertical="center"/>
    </xf>
    <xf numFmtId="165" fontId="0" fillId="0" borderId="92" xfId="2" applyNumberFormat="1" applyFont="1" applyBorder="1" applyAlignment="1">
      <alignment vertical="center"/>
    </xf>
    <xf numFmtId="165" fontId="0" fillId="0" borderId="93" xfId="2" applyNumberFormat="1" applyFont="1" applyBorder="1" applyAlignment="1">
      <alignment vertical="center"/>
    </xf>
    <xf numFmtId="165" fontId="0" fillId="0" borderId="66" xfId="2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65" fontId="0" fillId="0" borderId="94" xfId="2" applyNumberFormat="1" applyFont="1" applyBorder="1" applyAlignment="1">
      <alignment vertical="center"/>
    </xf>
    <xf numFmtId="165" fontId="0" fillId="0" borderId="6" xfId="2" applyNumberFormat="1" applyFont="1" applyBorder="1" applyAlignment="1">
      <alignment vertical="center"/>
    </xf>
    <xf numFmtId="165" fontId="0" fillId="0" borderId="95" xfId="2" applyNumberFormat="1" applyFont="1" applyBorder="1" applyAlignment="1">
      <alignment vertical="center"/>
    </xf>
    <xf numFmtId="165" fontId="0" fillId="0" borderId="96" xfId="2" applyNumberFormat="1" applyFont="1" applyBorder="1" applyAlignment="1">
      <alignment vertical="center"/>
    </xf>
    <xf numFmtId="165" fontId="0" fillId="0" borderId="97" xfId="2" applyNumberFormat="1" applyFont="1" applyBorder="1" applyAlignment="1">
      <alignment vertical="center"/>
    </xf>
    <xf numFmtId="165" fontId="0" fillId="0" borderId="30" xfId="2" applyNumberFormat="1" applyFont="1" applyBorder="1" applyAlignment="1">
      <alignment vertical="center"/>
    </xf>
    <xf numFmtId="165" fontId="0" fillId="0" borderId="90" xfId="0" applyNumberFormat="1" applyBorder="1" applyAlignment="1">
      <alignment vertical="center"/>
    </xf>
    <xf numFmtId="165" fontId="0" fillId="0" borderId="65" xfId="0" applyNumberFormat="1" applyBorder="1" applyAlignment="1">
      <alignment vertical="center"/>
    </xf>
    <xf numFmtId="165" fontId="0" fillId="0" borderId="91" xfId="0" applyNumberFormat="1" applyBorder="1" applyAlignment="1">
      <alignment vertical="center"/>
    </xf>
    <xf numFmtId="165" fontId="0" fillId="0" borderId="92" xfId="0" applyNumberFormat="1" applyBorder="1" applyAlignment="1">
      <alignment vertical="center"/>
    </xf>
    <xf numFmtId="165" fontId="0" fillId="0" borderId="93" xfId="0" applyNumberFormat="1" applyBorder="1" applyAlignment="1">
      <alignment vertical="center"/>
    </xf>
    <xf numFmtId="165" fontId="0" fillId="0" borderId="66" xfId="0" applyNumberFormat="1" applyBorder="1" applyAlignment="1">
      <alignment vertical="center"/>
    </xf>
    <xf numFmtId="37" fontId="2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7" fontId="8" fillId="0" borderId="0" xfId="0" applyNumberFormat="1" applyFont="1"/>
    <xf numFmtId="166" fontId="8" fillId="0" borderId="0" xfId="3" applyNumberFormat="1" applyFont="1"/>
    <xf numFmtId="44" fontId="8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0" xfId="0" applyFont="1"/>
    <xf numFmtId="37" fontId="15" fillId="0" borderId="0" xfId="0" applyNumberFormat="1" applyFont="1" applyBorder="1" applyAlignment="1" applyProtection="1">
      <alignment vertical="center"/>
    </xf>
    <xf numFmtId="44" fontId="8" fillId="0" borderId="0" xfId="3" applyFont="1"/>
    <xf numFmtId="2" fontId="8" fillId="0" borderId="0" xfId="0" applyNumberFormat="1" applyFont="1"/>
    <xf numFmtId="0" fontId="16" fillId="0" borderId="0" xfId="0" applyFont="1"/>
    <xf numFmtId="44" fontId="16" fillId="0" borderId="0" xfId="0" applyNumberFormat="1" applyFont="1"/>
    <xf numFmtId="0" fontId="8" fillId="0" borderId="0" xfId="0" applyFont="1" applyAlignment="1"/>
    <xf numFmtId="10" fontId="8" fillId="0" borderId="0" xfId="2" applyNumberFormat="1" applyFont="1"/>
    <xf numFmtId="10" fontId="8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66" fontId="8" fillId="0" borderId="0" xfId="0" applyNumberFormat="1" applyFont="1"/>
    <xf numFmtId="44" fontId="8" fillId="0" borderId="0" xfId="3" applyFont="1" applyAlignment="1">
      <alignment vertical="center"/>
    </xf>
    <xf numFmtId="44" fontId="14" fillId="0" borderId="0" xfId="3" applyFont="1" applyAlignment="1">
      <alignment vertical="center"/>
    </xf>
    <xf numFmtId="39" fontId="8" fillId="0" borderId="0" xfId="0" applyNumberFormat="1" applyFont="1" applyAlignment="1">
      <alignment vertical="center"/>
    </xf>
    <xf numFmtId="37" fontId="8" fillId="0" borderId="0" xfId="0" applyNumberFormat="1" applyFont="1" applyAlignment="1">
      <alignment vertical="center"/>
    </xf>
    <xf numFmtId="10" fontId="8" fillId="0" borderId="0" xfId="2" applyNumberFormat="1" applyFon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37" fontId="14" fillId="0" borderId="0" xfId="0" applyNumberFormat="1" applyFont="1" applyAlignment="1">
      <alignment vertical="center"/>
    </xf>
    <xf numFmtId="39" fontId="14" fillId="0" borderId="0" xfId="0" applyNumberFormat="1" applyFont="1" applyAlignment="1">
      <alignment vertical="center"/>
    </xf>
    <xf numFmtId="168" fontId="14" fillId="0" borderId="0" xfId="3" applyNumberFormat="1" applyFont="1" applyAlignment="1">
      <alignment vertical="center"/>
    </xf>
    <xf numFmtId="44" fontId="8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37" fontId="16" fillId="0" borderId="55" xfId="0" applyNumberFormat="1" applyFont="1" applyBorder="1" applyAlignment="1" applyProtection="1">
      <alignment horizontal="right" vertical="center" indent="2"/>
    </xf>
    <xf numFmtId="39" fontId="16" fillId="0" borderId="5" xfId="0" applyNumberFormat="1" applyFont="1" applyBorder="1" applyAlignment="1" applyProtection="1">
      <alignment horizontal="right" vertical="center" indent="2"/>
    </xf>
    <xf numFmtId="39" fontId="16" fillId="0" borderId="57" xfId="0" applyNumberFormat="1" applyFont="1" applyBorder="1" applyAlignment="1" applyProtection="1">
      <alignment horizontal="right" vertical="center" indent="2"/>
    </xf>
    <xf numFmtId="0" fontId="8" fillId="0" borderId="58" xfId="0" applyFont="1" applyBorder="1" applyAlignment="1">
      <alignment horizontal="center" vertical="center"/>
    </xf>
    <xf numFmtId="37" fontId="16" fillId="0" borderId="58" xfId="0" applyNumberFormat="1" applyFont="1" applyBorder="1" applyAlignment="1" applyProtection="1">
      <alignment horizontal="right" vertical="center" indent="2"/>
    </xf>
    <xf numFmtId="39" fontId="16" fillId="0" borderId="10" xfId="0" applyNumberFormat="1" applyFont="1" applyBorder="1" applyAlignment="1" applyProtection="1">
      <alignment horizontal="right" vertical="center" indent="2"/>
    </xf>
    <xf numFmtId="39" fontId="16" fillId="0" borderId="59" xfId="0" applyNumberFormat="1" applyFont="1" applyBorder="1" applyAlignment="1" applyProtection="1">
      <alignment horizontal="right" vertical="center" indent="2"/>
    </xf>
    <xf numFmtId="0" fontId="14" fillId="0" borderId="58" xfId="0" applyFont="1" applyBorder="1" applyAlignment="1">
      <alignment horizontal="center" vertical="center"/>
    </xf>
    <xf numFmtId="164" fontId="17" fillId="0" borderId="10" xfId="0" applyNumberFormat="1" applyFont="1" applyBorder="1" applyAlignment="1" applyProtection="1">
      <alignment horizontal="left" vertical="center"/>
    </xf>
    <xf numFmtId="37" fontId="17" fillId="0" borderId="58" xfId="0" applyNumberFormat="1" applyFont="1" applyBorder="1" applyAlignment="1" applyProtection="1">
      <alignment horizontal="right" vertical="center" indent="2"/>
    </xf>
    <xf numFmtId="39" fontId="17" fillId="0" borderId="10" xfId="0" applyNumberFormat="1" applyFont="1" applyBorder="1" applyAlignment="1" applyProtection="1">
      <alignment horizontal="right" vertical="center" indent="2"/>
    </xf>
    <xf numFmtId="39" fontId="17" fillId="0" borderId="59" xfId="0" applyNumberFormat="1" applyFont="1" applyBorder="1" applyAlignment="1" applyProtection="1">
      <alignment horizontal="right" vertical="center" indent="2"/>
    </xf>
    <xf numFmtId="0" fontId="14" fillId="0" borderId="60" xfId="0" applyFont="1" applyBorder="1" applyAlignment="1">
      <alignment horizontal="center" vertical="center"/>
    </xf>
    <xf numFmtId="164" fontId="17" fillId="0" borderId="47" xfId="0" applyNumberFormat="1" applyFont="1" applyBorder="1" applyAlignment="1" applyProtection="1">
      <alignment horizontal="left" vertical="center"/>
    </xf>
    <xf numFmtId="37" fontId="17" fillId="0" borderId="60" xfId="0" applyNumberFormat="1" applyFont="1" applyBorder="1" applyAlignment="1" applyProtection="1">
      <alignment horizontal="right" vertical="center" indent="2"/>
    </xf>
    <xf numFmtId="39" fontId="17" fillId="0" borderId="47" xfId="0" applyNumberFormat="1" applyFont="1" applyBorder="1" applyAlignment="1" applyProtection="1">
      <alignment horizontal="right" vertical="center" indent="2"/>
    </xf>
    <xf numFmtId="39" fontId="17" fillId="0" borderId="61" xfId="0" applyNumberFormat="1" applyFont="1" applyBorder="1" applyAlignment="1" applyProtection="1">
      <alignment horizontal="right" vertical="center" indent="2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4" fontId="1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44" fontId="9" fillId="0" borderId="4" xfId="3" applyFont="1" applyBorder="1" applyAlignment="1">
      <alignment horizontal="center" vertical="center"/>
    </xf>
    <xf numFmtId="44" fontId="9" fillId="0" borderId="69" xfId="3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44" fontId="3" fillId="0" borderId="69" xfId="3" applyFont="1" applyBorder="1" applyAlignment="1">
      <alignment horizontal="center" vertical="center"/>
    </xf>
    <xf numFmtId="44" fontId="9" fillId="0" borderId="36" xfId="3" applyFont="1" applyFill="1" applyBorder="1" applyAlignment="1">
      <alignment horizontal="center" vertical="center"/>
    </xf>
    <xf numFmtId="44" fontId="9" fillId="0" borderId="70" xfId="3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 applyProtection="1">
      <alignment horizontal="left" vertical="center"/>
    </xf>
    <xf numFmtId="44" fontId="5" fillId="0" borderId="11" xfId="3" applyFont="1" applyBorder="1" applyAlignment="1" applyProtection="1">
      <alignment horizontal="right" vertical="center" indent="2"/>
    </xf>
    <xf numFmtId="44" fontId="21" fillId="0" borderId="99" xfId="3" applyFont="1" applyFill="1" applyBorder="1" applyAlignment="1">
      <alignment horizontal="right" wrapText="1"/>
    </xf>
    <xf numFmtId="44" fontId="4" fillId="0" borderId="11" xfId="0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3" applyFont="1" applyAlignment="1">
      <alignment vertical="center"/>
    </xf>
    <xf numFmtId="44" fontId="11" fillId="0" borderId="0" xfId="3" applyFont="1" applyAlignment="1">
      <alignment vertical="center"/>
    </xf>
    <xf numFmtId="1" fontId="4" fillId="0" borderId="0" xfId="0" applyNumberFormat="1" applyFont="1" applyAlignment="1">
      <alignment vertical="center"/>
    </xf>
    <xf numFmtId="44" fontId="4" fillId="0" borderId="0" xfId="3" applyFont="1" applyAlignment="1">
      <alignment vertical="center"/>
    </xf>
    <xf numFmtId="44" fontId="4" fillId="0" borderId="8" xfId="0" applyNumberFormat="1" applyFont="1" applyBorder="1" applyAlignment="1">
      <alignment vertical="center"/>
    </xf>
    <xf numFmtId="44" fontId="21" fillId="0" borderId="100" xfId="3" applyFont="1" applyFill="1" applyBorder="1" applyAlignment="1">
      <alignment horizontal="right" wrapText="1"/>
    </xf>
    <xf numFmtId="44" fontId="21" fillId="0" borderId="101" xfId="3" applyFont="1" applyFill="1" applyBorder="1" applyAlignment="1">
      <alignment horizontal="right" wrapText="1"/>
    </xf>
    <xf numFmtId="0" fontId="4" fillId="0" borderId="0" xfId="0" applyFont="1" applyBorder="1" applyAlignment="1">
      <alignment horizontal="center" vertical="center"/>
    </xf>
    <xf numFmtId="44" fontId="5" fillId="0" borderId="0" xfId="3" applyFont="1" applyBorder="1" applyAlignment="1" applyProtection="1">
      <alignment horizontal="right" vertical="center" indent="2"/>
    </xf>
    <xf numFmtId="44" fontId="21" fillId="0" borderId="0" xfId="3" applyFont="1" applyFill="1" applyBorder="1" applyAlignment="1">
      <alignment horizontal="right" wrapText="1"/>
    </xf>
    <xf numFmtId="0" fontId="23" fillId="0" borderId="0" xfId="0" applyFont="1" applyFill="1" applyBorder="1"/>
    <xf numFmtId="0" fontId="24" fillId="0" borderId="103" xfId="0" applyNumberFormat="1" applyFont="1" applyFill="1" applyBorder="1" applyAlignment="1">
      <alignment horizontal="center" vertical="top" wrapText="1" readingOrder="1"/>
    </xf>
    <xf numFmtId="0" fontId="24" fillId="0" borderId="105" xfId="0" applyNumberFormat="1" applyFont="1" applyFill="1" applyBorder="1" applyAlignment="1">
      <alignment vertical="top" wrapText="1" readingOrder="1"/>
    </xf>
    <xf numFmtId="0" fontId="25" fillId="0" borderId="108" xfId="0" applyNumberFormat="1" applyFont="1" applyFill="1" applyBorder="1" applyAlignment="1">
      <alignment vertical="top" wrapText="1" readingOrder="1"/>
    </xf>
    <xf numFmtId="0" fontId="25" fillId="0" borderId="105" xfId="0" applyNumberFormat="1" applyFont="1" applyFill="1" applyBorder="1" applyAlignment="1">
      <alignment vertical="top" wrapText="1" readingOrder="1"/>
    </xf>
    <xf numFmtId="169" fontId="25" fillId="0" borderId="108" xfId="0" applyNumberFormat="1" applyFont="1" applyFill="1" applyBorder="1" applyAlignment="1">
      <alignment vertical="top" wrapText="1" readingOrder="1"/>
    </xf>
    <xf numFmtId="0" fontId="26" fillId="0" borderId="0" xfId="0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vertical="top" readingOrder="1"/>
    </xf>
    <xf numFmtId="0" fontId="24" fillId="0" borderId="103" xfId="0" applyNumberFormat="1" applyFont="1" applyFill="1" applyBorder="1" applyAlignment="1">
      <alignment horizontal="center" wrapText="1" readingOrder="1"/>
    </xf>
    <xf numFmtId="169" fontId="25" fillId="0" borderId="110" xfId="0" applyNumberFormat="1" applyFont="1" applyFill="1" applyBorder="1" applyAlignment="1">
      <alignment vertical="top" wrapText="1" readingOrder="1"/>
    </xf>
    <xf numFmtId="0" fontId="28" fillId="0" borderId="0" xfId="0" applyFont="1"/>
    <xf numFmtId="169" fontId="28" fillId="0" borderId="0" xfId="0" applyNumberFormat="1" applyFont="1"/>
    <xf numFmtId="0" fontId="24" fillId="0" borderId="104" xfId="0" applyNumberFormat="1" applyFont="1" applyFill="1" applyBorder="1" applyAlignment="1">
      <alignment horizontal="center" wrapText="1" readingOrder="1"/>
    </xf>
    <xf numFmtId="0" fontId="24" fillId="0" borderId="107" xfId="0" applyNumberFormat="1" applyFont="1" applyFill="1" applyBorder="1" applyAlignment="1">
      <alignment horizontal="center" wrapText="1" readingOrder="1"/>
    </xf>
    <xf numFmtId="0" fontId="27" fillId="0" borderId="6" xfId="0" applyFont="1" applyFill="1" applyBorder="1" applyAlignment="1">
      <alignment horizontal="center" wrapText="1"/>
    </xf>
    <xf numFmtId="0" fontId="27" fillId="0" borderId="74" xfId="0" applyFont="1" applyFill="1" applyBorder="1" applyAlignment="1">
      <alignment horizontal="center" wrapText="1"/>
    </xf>
    <xf numFmtId="0" fontId="27" fillId="0" borderId="98" xfId="0" applyFont="1" applyFill="1" applyBorder="1" applyAlignment="1">
      <alignment horizontal="center" wrapText="1"/>
    </xf>
    <xf numFmtId="0" fontId="24" fillId="0" borderId="107" xfId="0" applyNumberFormat="1" applyFont="1" applyFill="1" applyBorder="1" applyAlignment="1">
      <alignment horizontal="center" vertical="top" wrapText="1" readingOrder="1"/>
    </xf>
    <xf numFmtId="0" fontId="29" fillId="0" borderId="6" xfId="0" applyFont="1" applyBorder="1" applyAlignment="1">
      <alignment wrapText="1"/>
    </xf>
    <xf numFmtId="0" fontId="29" fillId="0" borderId="74" xfId="0" applyFont="1" applyBorder="1" applyAlignment="1">
      <alignment wrapText="1"/>
    </xf>
    <xf numFmtId="0" fontId="29" fillId="0" borderId="98" xfId="0" applyFont="1" applyBorder="1" applyAlignment="1">
      <alignment wrapText="1"/>
    </xf>
    <xf numFmtId="10" fontId="28" fillId="0" borderId="0" xfId="2" applyNumberFormat="1" applyFont="1"/>
    <xf numFmtId="0" fontId="25" fillId="0" borderId="0" xfId="0" applyNumberFormat="1" applyFont="1" applyFill="1" applyBorder="1" applyAlignment="1">
      <alignment horizontal="left" wrapText="1" readingOrder="1"/>
    </xf>
    <xf numFmtId="10" fontId="28" fillId="0" borderId="0" xfId="0" applyNumberFormat="1" applyFont="1"/>
    <xf numFmtId="44" fontId="28" fillId="0" borderId="0" xfId="3" applyFont="1"/>
    <xf numFmtId="37" fontId="5" fillId="0" borderId="14" xfId="0" applyNumberFormat="1" applyFont="1" applyBorder="1" applyAlignment="1" applyProtection="1">
      <alignment vertical="center"/>
    </xf>
    <xf numFmtId="37" fontId="5" fillId="0" borderId="80" xfId="0" applyNumberFormat="1" applyFont="1" applyBorder="1" applyAlignment="1" applyProtection="1">
      <alignment vertical="center"/>
    </xf>
    <xf numFmtId="37" fontId="5" fillId="0" borderId="15" xfId="0" applyNumberFormat="1" applyFont="1" applyBorder="1" applyAlignment="1" applyProtection="1">
      <alignment vertical="center"/>
    </xf>
    <xf numFmtId="37" fontId="5" fillId="0" borderId="1" xfId="0" applyNumberFormat="1" applyFont="1" applyBorder="1" applyAlignment="1" applyProtection="1">
      <alignment vertical="center"/>
    </xf>
    <xf numFmtId="37" fontId="5" fillId="0" borderId="111" xfId="0" applyNumberFormat="1" applyFont="1" applyBorder="1" applyAlignment="1" applyProtection="1">
      <alignment vertical="center"/>
    </xf>
    <xf numFmtId="37" fontId="5" fillId="0" borderId="94" xfId="0" applyNumberFormat="1" applyFont="1" applyBorder="1" applyAlignment="1" applyProtection="1">
      <alignment vertical="center"/>
    </xf>
    <xf numFmtId="37" fontId="5" fillId="0" borderId="112" xfId="0" applyNumberFormat="1" applyFont="1" applyBorder="1" applyAlignment="1" applyProtection="1">
      <alignment vertical="center"/>
    </xf>
    <xf numFmtId="37" fontId="5" fillId="0" borderId="113" xfId="0" applyNumberFormat="1" applyFont="1" applyBorder="1" applyAlignment="1" applyProtection="1">
      <alignment vertical="center"/>
    </xf>
    <xf numFmtId="37" fontId="8" fillId="0" borderId="1" xfId="0" applyNumberFormat="1" applyFont="1" applyBorder="1"/>
    <xf numFmtId="10" fontId="8" fillId="0" borderId="1" xfId="2" applyNumberFormat="1" applyFont="1" applyBorder="1"/>
    <xf numFmtId="166" fontId="8" fillId="0" borderId="1" xfId="3" applyNumberFormat="1" applyFont="1" applyBorder="1"/>
    <xf numFmtId="0" fontId="8" fillId="0" borderId="1" xfId="0" applyFont="1" applyBorder="1"/>
    <xf numFmtId="44" fontId="8" fillId="0" borderId="1" xfId="0" applyNumberFormat="1" applyFont="1" applyBorder="1"/>
    <xf numFmtId="44" fontId="16" fillId="0" borderId="1" xfId="0" applyNumberFormat="1" applyFont="1" applyBorder="1"/>
    <xf numFmtId="44" fontId="8" fillId="0" borderId="1" xfId="0" applyNumberFormat="1" applyFont="1" applyBorder="1" applyAlignment="1">
      <alignment vertical="center"/>
    </xf>
    <xf numFmtId="44" fontId="8" fillId="0" borderId="1" xfId="3" applyFont="1" applyBorder="1" applyAlignment="1">
      <alignment vertical="center"/>
    </xf>
    <xf numFmtId="44" fontId="8" fillId="0" borderId="1" xfId="3" applyFont="1" applyBorder="1"/>
    <xf numFmtId="2" fontId="8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37" fontId="8" fillId="0" borderId="0" xfId="0" applyNumberFormat="1" applyFont="1" applyBorder="1"/>
    <xf numFmtId="10" fontId="8" fillId="0" borderId="0" xfId="2" applyNumberFormat="1" applyFont="1" applyBorder="1"/>
    <xf numFmtId="166" fontId="8" fillId="0" borderId="0" xfId="3" applyNumberFormat="1" applyFont="1" applyBorder="1"/>
    <xf numFmtId="0" fontId="8" fillId="0" borderId="0" xfId="0" applyFont="1" applyBorder="1"/>
    <xf numFmtId="44" fontId="8" fillId="0" borderId="0" xfId="0" applyNumberFormat="1" applyFont="1" applyBorder="1"/>
    <xf numFmtId="44" fontId="16" fillId="0" borderId="0" xfId="0" applyNumberFormat="1" applyFont="1" applyBorder="1"/>
    <xf numFmtId="44" fontId="8" fillId="0" borderId="0" xfId="0" applyNumberFormat="1" applyFont="1" applyBorder="1" applyAlignment="1">
      <alignment vertical="center"/>
    </xf>
    <xf numFmtId="44" fontId="8" fillId="0" borderId="0" xfId="3" applyFont="1" applyBorder="1" applyAlignment="1">
      <alignment vertical="center"/>
    </xf>
    <xf numFmtId="44" fontId="8" fillId="0" borderId="0" xfId="3" applyFont="1" applyBorder="1"/>
    <xf numFmtId="44" fontId="4" fillId="0" borderId="0" xfId="0" applyNumberFormat="1" applyFont="1" applyBorder="1" applyAlignment="1">
      <alignment vertical="center"/>
    </xf>
    <xf numFmtId="0" fontId="4" fillId="0" borderId="0" xfId="0" applyFont="1"/>
    <xf numFmtId="0" fontId="30" fillId="0" borderId="0" xfId="0" applyFont="1" applyAlignment="1">
      <alignment horizontal="center"/>
    </xf>
    <xf numFmtId="0" fontId="30" fillId="0" borderId="8" xfId="0" applyFont="1" applyBorder="1" applyAlignment="1">
      <alignment horizontal="center"/>
    </xf>
    <xf numFmtId="170" fontId="4" fillId="0" borderId="0" xfId="0" applyNumberFormat="1" applyFont="1"/>
    <xf numFmtId="43" fontId="4" fillId="0" borderId="0" xfId="0" applyNumberFormat="1" applyFont="1"/>
    <xf numFmtId="2" fontId="4" fillId="0" borderId="0" xfId="0" applyNumberFormat="1" applyFont="1"/>
    <xf numFmtId="43" fontId="4" fillId="0" borderId="0" xfId="1" applyNumberFormat="1" applyFont="1"/>
    <xf numFmtId="43" fontId="4" fillId="0" borderId="8" xfId="1" applyNumberFormat="1" applyFont="1" applyBorder="1"/>
    <xf numFmtId="43" fontId="4" fillId="0" borderId="8" xfId="0" applyNumberFormat="1" applyFont="1" applyBorder="1"/>
    <xf numFmtId="43" fontId="31" fillId="0" borderId="0" xfId="1" applyNumberFormat="1" applyFont="1"/>
    <xf numFmtId="43" fontId="31" fillId="0" borderId="8" xfId="1" applyNumberFormat="1" applyFont="1" applyBorder="1"/>
    <xf numFmtId="43" fontId="31" fillId="0" borderId="8" xfId="0" applyNumberFormat="1" applyFont="1" applyBorder="1"/>
    <xf numFmtId="43" fontId="31" fillId="0" borderId="0" xfId="0" applyNumberFormat="1" applyFont="1"/>
    <xf numFmtId="43" fontId="4" fillId="0" borderId="8" xfId="0" applyNumberFormat="1" applyFont="1" applyBorder="1" applyAlignment="1">
      <alignment horizontal="right"/>
    </xf>
    <xf numFmtId="0" fontId="0" fillId="0" borderId="1" xfId="0" applyBorder="1"/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2" fontId="0" fillId="0" borderId="0" xfId="0" applyNumberFormat="1"/>
    <xf numFmtId="0" fontId="3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33" fillId="0" borderId="0" xfId="0" applyFont="1"/>
    <xf numFmtId="167" fontId="0" fillId="0" borderId="0" xfId="1" applyNumberFormat="1" applyFont="1"/>
    <xf numFmtId="165" fontId="0" fillId="0" borderId="0" xfId="2" applyNumberFormat="1" applyFont="1"/>
    <xf numFmtId="0" fontId="25" fillId="0" borderId="0" xfId="0" applyNumberFormat="1" applyFont="1" applyFill="1" applyBorder="1" applyAlignment="1">
      <alignment vertical="top" wrapText="1" readingOrder="1"/>
    </xf>
    <xf numFmtId="0" fontId="25" fillId="0" borderId="105" xfId="0" applyNumberFormat="1" applyFont="1" applyFill="1" applyBorder="1" applyAlignment="1">
      <alignment wrapText="1" readingOrder="1"/>
    </xf>
    <xf numFmtId="0" fontId="23" fillId="0" borderId="0" xfId="0" applyFont="1" applyFill="1" applyBorder="1" applyAlignment="1"/>
    <xf numFmtId="0" fontId="35" fillId="0" borderId="0" xfId="0" applyFont="1"/>
    <xf numFmtId="0" fontId="0" fillId="0" borderId="0" xfId="0" applyFont="1"/>
    <xf numFmtId="0" fontId="0" fillId="0" borderId="0" xfId="0" quotePrefix="1" applyFont="1" applyAlignment="1">
      <alignment horizontal="right"/>
    </xf>
    <xf numFmtId="0" fontId="33" fillId="0" borderId="5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167" fontId="0" fillId="0" borderId="5" xfId="1" applyNumberFormat="1" applyFont="1" applyBorder="1"/>
    <xf numFmtId="167" fontId="0" fillId="0" borderId="8" xfId="1" applyNumberFormat="1" applyFont="1" applyBorder="1"/>
    <xf numFmtId="167" fontId="0" fillId="0" borderId="8" xfId="0" applyNumberFormat="1" applyBorder="1"/>
    <xf numFmtId="167" fontId="0" fillId="0" borderId="94" xfId="1" applyNumberFormat="1" applyFont="1" applyBorder="1"/>
    <xf numFmtId="167" fontId="0" fillId="0" borderId="113" xfId="1" applyNumberFormat="1" applyFont="1" applyBorder="1"/>
    <xf numFmtId="167" fontId="0" fillId="0" borderId="113" xfId="0" applyNumberFormat="1" applyBorder="1"/>
    <xf numFmtId="167" fontId="0" fillId="0" borderId="0" xfId="0" applyNumberFormat="1"/>
    <xf numFmtId="10" fontId="0" fillId="0" borderId="0" xfId="2" applyNumberFormat="1" applyFont="1"/>
    <xf numFmtId="0" fontId="36" fillId="0" borderId="0" xfId="0" applyFont="1"/>
    <xf numFmtId="0" fontId="22" fillId="0" borderId="0" xfId="0" applyNumberFormat="1" applyFont="1" applyFill="1" applyBorder="1" applyAlignment="1">
      <alignment horizontal="left" vertical="top" readingOrder="1"/>
    </xf>
    <xf numFmtId="0" fontId="24" fillId="0" borderId="105" xfId="0" applyNumberFormat="1" applyFont="1" applyFill="1" applyBorder="1" applyAlignment="1">
      <alignment wrapText="1" readingOrder="1"/>
    </xf>
    <xf numFmtId="169" fontId="24" fillId="0" borderId="108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wrapText="1" readingOrder="1"/>
    </xf>
    <xf numFmtId="165" fontId="24" fillId="0" borderId="0" xfId="2" applyNumberFormat="1" applyFont="1" applyFill="1" applyBorder="1" applyAlignment="1">
      <alignment wrapText="1" readingOrder="1"/>
    </xf>
    <xf numFmtId="169" fontId="24" fillId="0" borderId="0" xfId="0" applyNumberFormat="1" applyFont="1" applyFill="1" applyBorder="1" applyAlignment="1">
      <alignment vertical="top" wrapText="1" readingOrder="1"/>
    </xf>
    <xf numFmtId="0" fontId="14" fillId="0" borderId="5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left" wrapText="1" readingOrder="1"/>
    </xf>
    <xf numFmtId="0" fontId="6" fillId="0" borderId="6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9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44" fontId="14" fillId="0" borderId="6" xfId="3" applyFont="1" applyBorder="1" applyAlignment="1">
      <alignment horizontal="center" wrapText="1"/>
    </xf>
    <xf numFmtId="0" fontId="14" fillId="0" borderId="74" xfId="0" applyFont="1" applyBorder="1" applyAlignment="1">
      <alignment horizontal="center" wrapText="1"/>
    </xf>
    <xf numFmtId="0" fontId="14" fillId="0" borderId="98" xfId="0" applyFont="1" applyBorder="1" applyAlignment="1">
      <alignment horizontal="center" wrapText="1"/>
    </xf>
    <xf numFmtId="0" fontId="8" fillId="0" borderId="5" xfId="0" applyFont="1" applyBorder="1"/>
    <xf numFmtId="0" fontId="14" fillId="0" borderId="0" xfId="0" applyFont="1" applyBorder="1" applyAlignment="1"/>
    <xf numFmtId="0" fontId="14" fillId="0" borderId="94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164" fontId="16" fillId="0" borderId="0" xfId="0" applyNumberFormat="1" applyFont="1" applyBorder="1" applyAlignment="1" applyProtection="1">
      <alignment horizontal="left" vertical="center"/>
    </xf>
    <xf numFmtId="164" fontId="16" fillId="0" borderId="1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>
      <alignment vertical="center"/>
    </xf>
    <xf numFmtId="44" fontId="14" fillId="0" borderId="0" xfId="3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4" fontId="14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9" fillId="0" borderId="0" xfId="4"/>
    <xf numFmtId="9" fontId="0" fillId="0" borderId="0" xfId="2" applyNumberFormat="1" applyFont="1"/>
    <xf numFmtId="9" fontId="33" fillId="0" borderId="0" xfId="2" applyNumberFormat="1" applyFont="1"/>
    <xf numFmtId="0" fontId="14" fillId="0" borderId="1" xfId="0" applyFont="1" applyBorder="1" applyAlignment="1">
      <alignment horizontal="center" wrapText="1"/>
    </xf>
    <xf numFmtId="0" fontId="30" fillId="0" borderId="5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/>
    </xf>
    <xf numFmtId="0" fontId="0" fillId="0" borderId="95" xfId="0" applyBorder="1" applyAlignment="1">
      <alignment horizontal="center"/>
    </xf>
    <xf numFmtId="0" fontId="0" fillId="0" borderId="115" xfId="0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0" fontId="34" fillId="0" borderId="0" xfId="0" applyNumberFormat="1" applyFont="1" applyFill="1" applyBorder="1" applyAlignment="1">
      <alignment vertical="top" wrapText="1" readingOrder="1"/>
    </xf>
    <xf numFmtId="0" fontId="23" fillId="0" borderId="0" xfId="0" applyFont="1" applyFill="1" applyBorder="1"/>
    <xf numFmtId="0" fontId="24" fillId="0" borderId="102" xfId="0" applyNumberFormat="1" applyFont="1" applyFill="1" applyBorder="1" applyAlignment="1">
      <alignment horizontal="left" vertical="center" wrapText="1" readingOrder="1"/>
    </xf>
    <xf numFmtId="0" fontId="23" fillId="0" borderId="105" xfId="0" applyNumberFormat="1" applyFont="1" applyFill="1" applyBorder="1" applyAlignment="1">
      <alignment vertical="top" wrapText="1"/>
    </xf>
    <xf numFmtId="0" fontId="23" fillId="0" borderId="106" xfId="0" applyNumberFormat="1" applyFont="1" applyFill="1" applyBorder="1" applyAlignment="1">
      <alignment vertical="top" wrapText="1"/>
    </xf>
    <xf numFmtId="0" fontId="24" fillId="0" borderId="104" xfId="0" applyNumberFormat="1" applyFont="1" applyFill="1" applyBorder="1" applyAlignment="1">
      <alignment horizontal="center" vertical="top" wrapText="1" readingOrder="1"/>
    </xf>
    <xf numFmtId="0" fontId="23" fillId="0" borderId="114" xfId="0" applyNumberFormat="1" applyFont="1" applyFill="1" applyBorder="1" applyAlignment="1">
      <alignment vertical="top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0" borderId="0" xfId="0" quotePrefix="1" applyFont="1" applyAlignment="1">
      <alignment horizontal="center" wrapText="1"/>
    </xf>
    <xf numFmtId="0" fontId="14" fillId="0" borderId="0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7" fillId="0" borderId="37" xfId="0" applyNumberFormat="1" applyFont="1" applyBorder="1" applyAlignment="1" applyProtection="1">
      <alignment horizontal="center" vertical="center"/>
    </xf>
    <xf numFmtId="164" fontId="7" fillId="0" borderId="38" xfId="0" applyNumberFormat="1" applyFont="1" applyBorder="1" applyAlignment="1" applyProtection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4" fillId="0" borderId="74" xfId="0" applyFont="1" applyBorder="1" applyAlignment="1">
      <alignment horizontal="center"/>
    </xf>
    <xf numFmtId="0" fontId="14" fillId="0" borderId="98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44" fontId="9" fillId="0" borderId="12" xfId="3" applyFont="1" applyBorder="1" applyAlignment="1">
      <alignment horizontal="center" vertical="center"/>
    </xf>
    <xf numFmtId="44" fontId="9" fillId="0" borderId="53" xfId="3" applyFont="1" applyBorder="1" applyAlignment="1">
      <alignment horizontal="center" vertical="center"/>
    </xf>
    <xf numFmtId="44" fontId="9" fillId="0" borderId="54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4" fillId="0" borderId="109" xfId="0" applyNumberFormat="1" applyFont="1" applyFill="1" applyBorder="1" applyAlignment="1">
      <alignment horizontal="center" vertical="top" wrapText="1" readingOrder="1"/>
    </xf>
    <xf numFmtId="0" fontId="24" fillId="0" borderId="0" xfId="0" applyNumberFormat="1" applyFont="1" applyFill="1" applyBorder="1" applyAlignment="1">
      <alignment horizontal="center" vertical="top" wrapText="1" readingOrder="1"/>
    </xf>
    <xf numFmtId="0" fontId="23" fillId="0" borderId="6" xfId="0" applyFont="1" applyFill="1" applyBorder="1" applyAlignment="1">
      <alignment horizontal="center" readingOrder="1"/>
    </xf>
    <xf numFmtId="0" fontId="23" fillId="0" borderId="74" xfId="0" applyFont="1" applyFill="1" applyBorder="1" applyAlignment="1">
      <alignment horizontal="center" readingOrder="1"/>
    </xf>
    <xf numFmtId="0" fontId="23" fillId="0" borderId="98" xfId="0" applyFont="1" applyFill="1" applyBorder="1" applyAlignment="1">
      <alignment horizontal="center" readingOrder="1"/>
    </xf>
    <xf numFmtId="0" fontId="0" fillId="0" borderId="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98" xfId="0" applyBorder="1" applyAlignment="1">
      <alignment horizontal="center"/>
    </xf>
    <xf numFmtId="0" fontId="37" fillId="0" borderId="0" xfId="0" applyNumberFormat="1" applyFont="1" applyFill="1" applyBorder="1" applyAlignment="1">
      <alignment vertical="top" wrapText="1" readingOrder="1"/>
    </xf>
    <xf numFmtId="0" fontId="23" fillId="0" borderId="0" xfId="0" applyFont="1" applyFill="1" applyBorder="1" applyAlignment="1">
      <alignment readingOrder="1"/>
    </xf>
    <xf numFmtId="0" fontId="10" fillId="0" borderId="4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12" fillId="0" borderId="37" xfId="0" applyNumberFormat="1" applyFont="1" applyBorder="1" applyAlignment="1" applyProtection="1">
      <alignment horizontal="center" vertical="center"/>
    </xf>
    <xf numFmtId="164" fontId="12" fillId="0" borderId="38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nass.usda.gov/Statistics_by_State/California/Publications/California_Ag_Statistics/Reports/2013cas-all.pdf%20(pages%2068%20and%2069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workbookViewId="0">
      <selection activeCell="AB4" sqref="AB4:AF4"/>
    </sheetView>
  </sheetViews>
  <sheetFormatPr defaultRowHeight="14.4" x14ac:dyDescent="0.3"/>
  <cols>
    <col min="1" max="1" width="3.33203125" customWidth="1"/>
    <col min="2" max="2" width="13" customWidth="1"/>
    <col min="3" max="5" width="5.5546875" bestFit="1" customWidth="1"/>
    <col min="6" max="6" width="6.44140625" bestFit="1" customWidth="1"/>
    <col min="7" max="7" width="6" bestFit="1" customWidth="1"/>
    <col min="8" max="10" width="5.5546875" bestFit="1" customWidth="1"/>
    <col min="11" max="11" width="6.44140625" bestFit="1" customWidth="1"/>
    <col min="12" max="12" width="6" bestFit="1" customWidth="1"/>
    <col min="13" max="15" width="5.5546875" bestFit="1" customWidth="1"/>
    <col min="16" max="16" width="6.44140625" bestFit="1" customWidth="1"/>
    <col min="17" max="17" width="6" bestFit="1" customWidth="1"/>
    <col min="18" max="20" width="5.5546875" bestFit="1" customWidth="1"/>
    <col min="21" max="21" width="6.44140625" bestFit="1" customWidth="1"/>
    <col min="22" max="22" width="6" bestFit="1" customWidth="1"/>
    <col min="23" max="25" width="5.5546875" bestFit="1" customWidth="1"/>
    <col min="26" max="26" width="6.44140625" bestFit="1" customWidth="1"/>
    <col min="27" max="27" width="6" bestFit="1" customWidth="1"/>
    <col min="28" max="30" width="5.5546875" bestFit="1" customWidth="1"/>
    <col min="31" max="31" width="6.44140625" bestFit="1" customWidth="1"/>
    <col min="32" max="32" width="6" bestFit="1" customWidth="1"/>
    <col min="33" max="33" width="12.6640625" bestFit="1" customWidth="1"/>
  </cols>
  <sheetData>
    <row r="1" spans="1:33" x14ac:dyDescent="0.3">
      <c r="A1" s="1" t="s">
        <v>236</v>
      </c>
    </row>
    <row r="2" spans="1:33" x14ac:dyDescent="0.3">
      <c r="A2" s="280" t="s">
        <v>237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</row>
    <row r="3" spans="1:33" x14ac:dyDescent="0.3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</row>
    <row r="4" spans="1:33" x14ac:dyDescent="0.3">
      <c r="B4" s="281" t="s">
        <v>36</v>
      </c>
      <c r="C4" s="369">
        <v>2009</v>
      </c>
      <c r="D4" s="369"/>
      <c r="E4" s="369"/>
      <c r="F4" s="369"/>
      <c r="G4" s="370"/>
      <c r="H4" s="368">
        <v>2010</v>
      </c>
      <c r="I4" s="369"/>
      <c r="J4" s="369"/>
      <c r="K4" s="369"/>
      <c r="L4" s="370"/>
      <c r="M4" s="368">
        <v>2011</v>
      </c>
      <c r="N4" s="369"/>
      <c r="O4" s="369"/>
      <c r="P4" s="369"/>
      <c r="Q4" s="370"/>
      <c r="R4" s="368">
        <v>2012</v>
      </c>
      <c r="S4" s="369"/>
      <c r="T4" s="369"/>
      <c r="U4" s="369"/>
      <c r="V4" s="370"/>
      <c r="W4" s="368">
        <v>2013</v>
      </c>
      <c r="X4" s="369"/>
      <c r="Y4" s="369"/>
      <c r="Z4" s="369"/>
      <c r="AA4" s="370"/>
      <c r="AB4" s="368">
        <v>2014</v>
      </c>
      <c r="AC4" s="369"/>
      <c r="AD4" s="369"/>
      <c r="AE4" s="369"/>
      <c r="AF4" s="370"/>
      <c r="AG4" s="281" t="s">
        <v>162</v>
      </c>
    </row>
    <row r="5" spans="1:33" x14ac:dyDescent="0.3">
      <c r="A5" s="281"/>
      <c r="B5" s="281" t="s">
        <v>37</v>
      </c>
      <c r="C5" s="281" t="s">
        <v>163</v>
      </c>
      <c r="D5" s="281" t="s">
        <v>164</v>
      </c>
      <c r="E5" s="281" t="s">
        <v>165</v>
      </c>
      <c r="F5" s="281" t="s">
        <v>166</v>
      </c>
      <c r="G5" s="282" t="s">
        <v>167</v>
      </c>
      <c r="H5" s="281" t="s">
        <v>163</v>
      </c>
      <c r="I5" s="281" t="s">
        <v>164</v>
      </c>
      <c r="J5" s="281" t="s">
        <v>165</v>
      </c>
      <c r="K5" s="281" t="s">
        <v>166</v>
      </c>
      <c r="L5" s="282" t="s">
        <v>167</v>
      </c>
      <c r="M5" s="281" t="s">
        <v>163</v>
      </c>
      <c r="N5" s="281" t="s">
        <v>164</v>
      </c>
      <c r="O5" s="281" t="s">
        <v>165</v>
      </c>
      <c r="P5" s="281" t="s">
        <v>166</v>
      </c>
      <c r="Q5" s="282" t="s">
        <v>167</v>
      </c>
      <c r="R5" s="281" t="s">
        <v>163</v>
      </c>
      <c r="S5" s="281" t="s">
        <v>164</v>
      </c>
      <c r="T5" s="281" t="s">
        <v>165</v>
      </c>
      <c r="U5" s="281" t="s">
        <v>166</v>
      </c>
      <c r="V5" s="282" t="s">
        <v>167</v>
      </c>
      <c r="W5" s="281" t="s">
        <v>163</v>
      </c>
      <c r="X5" s="281" t="s">
        <v>164</v>
      </c>
      <c r="Y5" s="281" t="s">
        <v>165</v>
      </c>
      <c r="Z5" s="281" t="s">
        <v>166</v>
      </c>
      <c r="AA5" s="282" t="s">
        <v>167</v>
      </c>
      <c r="AB5" s="281" t="s">
        <v>163</v>
      </c>
      <c r="AC5" s="281" t="s">
        <v>164</v>
      </c>
      <c r="AD5" s="281" t="s">
        <v>165</v>
      </c>
      <c r="AE5" s="281" t="s">
        <v>166</v>
      </c>
      <c r="AF5" s="282" t="s">
        <v>167</v>
      </c>
      <c r="AG5" s="281" t="s">
        <v>168</v>
      </c>
    </row>
    <row r="6" spans="1:33" x14ac:dyDescent="0.3">
      <c r="A6" s="280"/>
      <c r="B6" s="280" t="s">
        <v>169</v>
      </c>
      <c r="C6" s="286">
        <v>3.8</v>
      </c>
      <c r="D6" s="286">
        <v>3.09</v>
      </c>
      <c r="E6" s="286">
        <v>5.71</v>
      </c>
      <c r="F6" s="286">
        <v>8.8000000000000007</v>
      </c>
      <c r="G6" s="287">
        <f>D6/F6</f>
        <v>0.35113636363636358</v>
      </c>
      <c r="H6" s="286">
        <v>3.76</v>
      </c>
      <c r="I6" s="286">
        <v>3.09</v>
      </c>
      <c r="J6" s="286">
        <v>5.74</v>
      </c>
      <c r="K6" s="286">
        <v>8.84</v>
      </c>
      <c r="L6" s="288">
        <f>I6/K6</f>
        <v>0.34954751131221717</v>
      </c>
      <c r="M6" s="284">
        <v>3.82</v>
      </c>
      <c r="N6" s="284">
        <v>3.11</v>
      </c>
      <c r="O6" s="284">
        <v>5.75</v>
      </c>
      <c r="P6" s="284">
        <v>8.86</v>
      </c>
      <c r="Q6" s="288">
        <f>N6/P6</f>
        <v>0.3510158013544018</v>
      </c>
      <c r="R6" s="284">
        <v>3.83</v>
      </c>
      <c r="S6" s="284">
        <v>3.13</v>
      </c>
      <c r="T6" s="284">
        <v>5.76</v>
      </c>
      <c r="U6" s="284">
        <v>8.89</v>
      </c>
      <c r="V6" s="288">
        <f>S6/U6</f>
        <v>0.35208098987626546</v>
      </c>
      <c r="W6" s="286">
        <v>3.89</v>
      </c>
      <c r="X6" s="286">
        <v>3.14</v>
      </c>
      <c r="Y6" s="286">
        <v>5.74</v>
      </c>
      <c r="Z6" s="286">
        <v>8.89</v>
      </c>
      <c r="AA6" s="288">
        <f>X6/Z6</f>
        <v>0.35320584926884141</v>
      </c>
      <c r="AB6" s="286">
        <v>3.89</v>
      </c>
      <c r="AC6" s="286">
        <v>3.18</v>
      </c>
      <c r="AD6" s="286">
        <v>5.71</v>
      </c>
      <c r="AE6" s="286">
        <v>8.89</v>
      </c>
      <c r="AF6" s="288">
        <f>AC6/AE6</f>
        <v>0.3577052868391451</v>
      </c>
      <c r="AG6" s="283">
        <f>AVERAGE(G6,L6,Q6,V6,AA6,AF6)</f>
        <v>0.35244863371453911</v>
      </c>
    </row>
    <row r="7" spans="1:33" x14ac:dyDescent="0.3">
      <c r="A7" s="280"/>
      <c r="B7" s="280" t="s">
        <v>170</v>
      </c>
      <c r="C7" s="286">
        <v>3.75</v>
      </c>
      <c r="D7" s="286">
        <v>3.06</v>
      </c>
      <c r="E7" s="286">
        <v>5.72</v>
      </c>
      <c r="F7" s="286">
        <v>8.7799999999999994</v>
      </c>
      <c r="G7" s="287">
        <f t="shared" ref="G7:G17" si="0">D7/F7</f>
        <v>0.3485193621867882</v>
      </c>
      <c r="H7" s="286">
        <v>3.73</v>
      </c>
      <c r="I7" s="286">
        <v>3.06</v>
      </c>
      <c r="J7" s="286">
        <v>5.75</v>
      </c>
      <c r="K7" s="286">
        <v>8.82</v>
      </c>
      <c r="L7" s="288">
        <f t="shared" ref="L7:L17" si="1">I7/K7</f>
        <v>0.34693877551020408</v>
      </c>
      <c r="M7" s="284">
        <v>3.78</v>
      </c>
      <c r="N7" s="284">
        <v>3.09</v>
      </c>
      <c r="O7" s="284">
        <v>5.74</v>
      </c>
      <c r="P7" s="284">
        <v>8.83</v>
      </c>
      <c r="Q7" s="288">
        <f t="shared" ref="Q7:Q17" si="2">N7/P7</f>
        <v>0.34994337485843713</v>
      </c>
      <c r="R7" s="284">
        <v>3.82</v>
      </c>
      <c r="S7" s="284">
        <v>3.12</v>
      </c>
      <c r="T7" s="284">
        <v>5.76</v>
      </c>
      <c r="U7" s="284">
        <v>8.8800000000000008</v>
      </c>
      <c r="V7" s="288">
        <f t="shared" ref="V7:V17" si="3">S7/U7</f>
        <v>0.35135135135135132</v>
      </c>
      <c r="W7" s="286">
        <v>3.88</v>
      </c>
      <c r="X7" s="286">
        <v>3.14</v>
      </c>
      <c r="Y7" s="286">
        <v>5.75</v>
      </c>
      <c r="Z7" s="286">
        <v>8.89</v>
      </c>
      <c r="AA7" s="288">
        <f t="shared" ref="AA7:AA17" si="4">X7/Z7</f>
        <v>0.35320584926884141</v>
      </c>
      <c r="AB7" s="286">
        <v>3.87</v>
      </c>
      <c r="AC7" s="286">
        <v>3.17</v>
      </c>
      <c r="AD7" s="286">
        <v>5.71</v>
      </c>
      <c r="AE7" s="286">
        <v>8.8800000000000008</v>
      </c>
      <c r="AF7" s="288">
        <f t="shared" ref="AF7:AF17" si="5">AC7/AE7</f>
        <v>0.35698198198198194</v>
      </c>
      <c r="AG7" s="283">
        <f t="shared" ref="AG7:AG17" si="6">AVERAGE(G7,L7,Q7,V7,AA7,AF7)</f>
        <v>0.35115678252626736</v>
      </c>
    </row>
    <row r="8" spans="1:33" x14ac:dyDescent="0.3">
      <c r="A8" s="280"/>
      <c r="B8" s="280" t="s">
        <v>132</v>
      </c>
      <c r="C8" s="286">
        <v>3.73</v>
      </c>
      <c r="D8" s="286">
        <v>3.05</v>
      </c>
      <c r="E8" s="286">
        <v>5.73</v>
      </c>
      <c r="F8" s="286">
        <v>8.7799999999999994</v>
      </c>
      <c r="G8" s="287">
        <f t="shared" si="0"/>
        <v>0.34738041002277903</v>
      </c>
      <c r="H8" s="286">
        <v>3.68</v>
      </c>
      <c r="I8" s="286">
        <v>3.02</v>
      </c>
      <c r="J8" s="286">
        <v>5.77</v>
      </c>
      <c r="K8" s="286">
        <v>8.7899999999999991</v>
      </c>
      <c r="L8" s="288">
        <f t="shared" si="1"/>
        <v>0.34357224118316271</v>
      </c>
      <c r="M8" s="284">
        <v>3.76</v>
      </c>
      <c r="N8" s="284">
        <v>3.08</v>
      </c>
      <c r="O8" s="284">
        <v>5.75</v>
      </c>
      <c r="P8" s="284">
        <v>8.83</v>
      </c>
      <c r="Q8" s="288">
        <f t="shared" si="2"/>
        <v>0.34881087202718009</v>
      </c>
      <c r="R8" s="284">
        <v>3.77</v>
      </c>
      <c r="S8" s="284">
        <v>3.08</v>
      </c>
      <c r="T8" s="284">
        <v>5.76</v>
      </c>
      <c r="U8" s="284">
        <v>8.84</v>
      </c>
      <c r="V8" s="288">
        <f t="shared" si="3"/>
        <v>0.34841628959276022</v>
      </c>
      <c r="W8" s="286">
        <v>3.87</v>
      </c>
      <c r="X8" s="286">
        <v>3.14</v>
      </c>
      <c r="Y8" s="286">
        <v>5.74</v>
      </c>
      <c r="Z8" s="286">
        <v>8.8800000000000008</v>
      </c>
      <c r="AA8" s="288">
        <f t="shared" si="4"/>
        <v>0.3536036036036036</v>
      </c>
      <c r="AB8" s="286">
        <v>3.84</v>
      </c>
      <c r="AC8" s="286">
        <v>3.15</v>
      </c>
      <c r="AD8" s="286">
        <v>5.7</v>
      </c>
      <c r="AE8" s="286">
        <v>8.85</v>
      </c>
      <c r="AF8" s="288">
        <f t="shared" si="5"/>
        <v>0.3559322033898305</v>
      </c>
      <c r="AG8" s="283">
        <f t="shared" si="6"/>
        <v>0.34961926996988607</v>
      </c>
    </row>
    <row r="9" spans="1:33" x14ac:dyDescent="0.3">
      <c r="A9" s="280"/>
      <c r="B9" s="280" t="s">
        <v>171</v>
      </c>
      <c r="C9" s="286">
        <v>3.71</v>
      </c>
      <c r="D9" s="286">
        <v>3.03</v>
      </c>
      <c r="E9" s="286">
        <v>5.71</v>
      </c>
      <c r="F9" s="286">
        <v>8.74</v>
      </c>
      <c r="G9" s="287">
        <f t="shared" si="0"/>
        <v>0.34668192219679633</v>
      </c>
      <c r="H9" s="286">
        <v>3.64</v>
      </c>
      <c r="I9" s="286">
        <v>2.99</v>
      </c>
      <c r="J9" s="286">
        <v>5.77</v>
      </c>
      <c r="K9" s="286">
        <v>8.76</v>
      </c>
      <c r="L9" s="288">
        <f t="shared" si="1"/>
        <v>0.34132420091324206</v>
      </c>
      <c r="M9" s="284">
        <v>3.73</v>
      </c>
      <c r="N9" s="284">
        <v>3.05</v>
      </c>
      <c r="O9" s="284">
        <v>5.76</v>
      </c>
      <c r="P9" s="284">
        <v>8.81</v>
      </c>
      <c r="Q9" s="288">
        <f t="shared" si="2"/>
        <v>0.34619750283768441</v>
      </c>
      <c r="R9" s="284">
        <v>3.74</v>
      </c>
      <c r="S9" s="284">
        <v>3.07</v>
      </c>
      <c r="T9" s="284">
        <v>5.78</v>
      </c>
      <c r="U9" s="284">
        <v>8.85</v>
      </c>
      <c r="V9" s="288">
        <f t="shared" si="3"/>
        <v>0.34689265536723163</v>
      </c>
      <c r="W9" s="286">
        <v>3.84</v>
      </c>
      <c r="X9" s="286">
        <v>3.12</v>
      </c>
      <c r="Y9" s="286">
        <v>5.74</v>
      </c>
      <c r="Z9" s="286">
        <v>8.86</v>
      </c>
      <c r="AA9" s="288">
        <f t="shared" si="4"/>
        <v>0.3521444695259594</v>
      </c>
      <c r="AB9" s="286">
        <v>3.79</v>
      </c>
      <c r="AC9" s="286">
        <v>3.1</v>
      </c>
      <c r="AD9" s="286">
        <v>5.71</v>
      </c>
      <c r="AE9" s="286">
        <v>8.81</v>
      </c>
      <c r="AF9" s="288">
        <f t="shared" si="5"/>
        <v>0.35187287173666287</v>
      </c>
      <c r="AG9" s="283">
        <f t="shared" si="6"/>
        <v>0.3475189370962628</v>
      </c>
    </row>
    <row r="10" spans="1:33" x14ac:dyDescent="0.3">
      <c r="A10" s="280"/>
      <c r="B10" s="280" t="s">
        <v>134</v>
      </c>
      <c r="C10" s="286">
        <v>3.65</v>
      </c>
      <c r="D10" s="286">
        <v>3</v>
      </c>
      <c r="E10" s="286">
        <v>5.73</v>
      </c>
      <c r="F10" s="286">
        <v>8.73</v>
      </c>
      <c r="G10" s="287">
        <f t="shared" si="0"/>
        <v>0.3436426116838488</v>
      </c>
      <c r="H10" s="286">
        <v>3.61</v>
      </c>
      <c r="I10" s="286">
        <v>2.98</v>
      </c>
      <c r="J10" s="286">
        <v>5.76</v>
      </c>
      <c r="K10" s="286">
        <v>8.75</v>
      </c>
      <c r="L10" s="288">
        <f t="shared" si="1"/>
        <v>0.34057142857142858</v>
      </c>
      <c r="M10" s="284">
        <v>3.68</v>
      </c>
      <c r="N10" s="284">
        <v>3.03</v>
      </c>
      <c r="O10" s="284">
        <v>5.74</v>
      </c>
      <c r="P10" s="284">
        <v>8.77</v>
      </c>
      <c r="Q10" s="288">
        <f t="shared" si="2"/>
        <v>0.34549600912200684</v>
      </c>
      <c r="R10" s="284">
        <v>3.69</v>
      </c>
      <c r="S10" s="284">
        <v>3.04</v>
      </c>
      <c r="T10" s="284">
        <v>5.76</v>
      </c>
      <c r="U10" s="284">
        <v>8.81</v>
      </c>
      <c r="V10" s="288">
        <f t="shared" si="3"/>
        <v>0.34506242905788875</v>
      </c>
      <c r="W10" s="286">
        <v>3.77</v>
      </c>
      <c r="X10" s="286">
        <v>3.08</v>
      </c>
      <c r="Y10" s="286">
        <v>5.75</v>
      </c>
      <c r="Z10" s="286">
        <v>8.84</v>
      </c>
      <c r="AA10" s="288">
        <f t="shared" si="4"/>
        <v>0.34841628959276022</v>
      </c>
      <c r="AB10" s="286">
        <v>3.74</v>
      </c>
      <c r="AC10" s="286">
        <v>3.07</v>
      </c>
      <c r="AD10" s="286">
        <v>5.72</v>
      </c>
      <c r="AE10" s="286">
        <v>8.8000000000000007</v>
      </c>
      <c r="AF10" s="288">
        <f t="shared" si="5"/>
        <v>0.34886363636363632</v>
      </c>
      <c r="AG10" s="283">
        <f t="shared" si="6"/>
        <v>0.34534206739859491</v>
      </c>
    </row>
    <row r="11" spans="1:33" x14ac:dyDescent="0.3">
      <c r="A11" s="280"/>
      <c r="B11" s="280" t="s">
        <v>135</v>
      </c>
      <c r="C11" s="286">
        <v>3.61</v>
      </c>
      <c r="D11" s="286">
        <v>2.96</v>
      </c>
      <c r="E11" s="286">
        <v>5.75</v>
      </c>
      <c r="F11" s="286">
        <v>8.6999999999999993</v>
      </c>
      <c r="G11" s="287">
        <f t="shared" si="0"/>
        <v>0.34022988505747132</v>
      </c>
      <c r="H11" s="286">
        <v>3.55</v>
      </c>
      <c r="I11" s="286">
        <v>2.94</v>
      </c>
      <c r="J11" s="286">
        <v>5.78</v>
      </c>
      <c r="K11" s="286">
        <v>8.7200000000000006</v>
      </c>
      <c r="L11" s="288">
        <f t="shared" si="1"/>
        <v>0.33715596330275227</v>
      </c>
      <c r="M11" s="284">
        <v>3.61</v>
      </c>
      <c r="N11" s="284">
        <v>2.98</v>
      </c>
      <c r="O11" s="284">
        <v>5.76</v>
      </c>
      <c r="P11" s="284">
        <v>8.74</v>
      </c>
      <c r="Q11" s="288">
        <f t="shared" si="2"/>
        <v>0.34096109839816935</v>
      </c>
      <c r="R11" s="284">
        <v>3.64</v>
      </c>
      <c r="S11" s="284">
        <v>3.01</v>
      </c>
      <c r="T11" s="284">
        <v>5.76</v>
      </c>
      <c r="U11" s="284">
        <v>8.7799999999999994</v>
      </c>
      <c r="V11" s="288">
        <f t="shared" si="3"/>
        <v>0.34282460136674259</v>
      </c>
      <c r="W11" s="286">
        <v>3.71</v>
      </c>
      <c r="X11" s="286">
        <v>3.04</v>
      </c>
      <c r="Y11" s="286">
        <v>5.76</v>
      </c>
      <c r="Z11" s="286">
        <v>8.8000000000000007</v>
      </c>
      <c r="AA11" s="288">
        <f t="shared" si="4"/>
        <v>0.3454545454545454</v>
      </c>
      <c r="AB11" s="286">
        <v>3.67</v>
      </c>
      <c r="AC11" s="286">
        <v>3.02</v>
      </c>
      <c r="AD11" s="286">
        <v>5.76</v>
      </c>
      <c r="AE11" s="286">
        <v>8.77</v>
      </c>
      <c r="AF11" s="288">
        <f t="shared" si="5"/>
        <v>0.34435575826681875</v>
      </c>
      <c r="AG11" s="283">
        <f t="shared" si="6"/>
        <v>0.34183030864108327</v>
      </c>
    </row>
    <row r="12" spans="1:33" x14ac:dyDescent="0.3">
      <c r="A12" s="280"/>
      <c r="B12" s="280" t="s">
        <v>136</v>
      </c>
      <c r="C12" s="286">
        <v>3.56</v>
      </c>
      <c r="D12" s="286">
        <v>2.95</v>
      </c>
      <c r="E12" s="286">
        <v>5.75</v>
      </c>
      <c r="F12" s="286">
        <v>8.69</v>
      </c>
      <c r="G12" s="287">
        <f t="shared" si="0"/>
        <v>0.33947065592635217</v>
      </c>
      <c r="H12" s="286">
        <v>3.52</v>
      </c>
      <c r="I12" s="286">
        <v>2.91</v>
      </c>
      <c r="J12" s="286">
        <v>5.76</v>
      </c>
      <c r="K12" s="286">
        <v>8.67</v>
      </c>
      <c r="L12" s="288">
        <f t="shared" si="1"/>
        <v>0.33564013840830453</v>
      </c>
      <c r="M12" s="284">
        <v>3.58</v>
      </c>
      <c r="N12" s="284">
        <v>2.92</v>
      </c>
      <c r="O12" s="284">
        <v>5.74</v>
      </c>
      <c r="P12" s="284">
        <v>8.66</v>
      </c>
      <c r="Q12" s="288">
        <f t="shared" si="2"/>
        <v>0.33718244803695147</v>
      </c>
      <c r="R12" s="284">
        <v>3.59</v>
      </c>
      <c r="S12" s="284">
        <v>2.95</v>
      </c>
      <c r="T12" s="284">
        <v>5.74</v>
      </c>
      <c r="U12" s="284">
        <v>8.69</v>
      </c>
      <c r="V12" s="288">
        <f t="shared" si="3"/>
        <v>0.33947065592635217</v>
      </c>
      <c r="W12" s="286">
        <v>3.67</v>
      </c>
      <c r="X12" s="286">
        <v>2.98</v>
      </c>
      <c r="Y12" s="286">
        <v>5.76</v>
      </c>
      <c r="Z12" s="286">
        <v>8.74</v>
      </c>
      <c r="AA12" s="288">
        <f t="shared" si="4"/>
        <v>0.34096109839816935</v>
      </c>
      <c r="AB12" s="286">
        <v>3.68</v>
      </c>
      <c r="AC12" s="286">
        <v>3.01</v>
      </c>
      <c r="AD12" s="286">
        <v>5.74</v>
      </c>
      <c r="AE12" s="286">
        <v>8.75</v>
      </c>
      <c r="AF12" s="288">
        <f t="shared" si="5"/>
        <v>0.34399999999999997</v>
      </c>
      <c r="AG12" s="283">
        <f t="shared" si="6"/>
        <v>0.33945416611602158</v>
      </c>
    </row>
    <row r="13" spans="1:33" x14ac:dyDescent="0.3">
      <c r="A13" s="280"/>
      <c r="B13" s="280" t="s">
        <v>172</v>
      </c>
      <c r="C13" s="286">
        <v>3.6</v>
      </c>
      <c r="D13" s="286">
        <v>2.97</v>
      </c>
      <c r="E13" s="286">
        <v>5.73</v>
      </c>
      <c r="F13" s="286">
        <v>8.6999999999999993</v>
      </c>
      <c r="G13" s="287">
        <f t="shared" si="0"/>
        <v>0.34137931034482766</v>
      </c>
      <c r="H13" s="286">
        <v>3.53</v>
      </c>
      <c r="I13" s="286">
        <v>2.92</v>
      </c>
      <c r="J13" s="286">
        <v>5.76</v>
      </c>
      <c r="K13" s="286">
        <v>8.68</v>
      </c>
      <c r="L13" s="288">
        <f t="shared" si="1"/>
        <v>0.33640552995391704</v>
      </c>
      <c r="M13" s="284">
        <v>3.58</v>
      </c>
      <c r="N13" s="284">
        <v>2.97</v>
      </c>
      <c r="O13" s="284">
        <v>5.72</v>
      </c>
      <c r="P13" s="284">
        <v>8.6999999999999993</v>
      </c>
      <c r="Q13" s="288">
        <f t="shared" si="2"/>
        <v>0.34137931034482766</v>
      </c>
      <c r="R13" s="284">
        <v>3.63</v>
      </c>
      <c r="S13" s="284">
        <v>3.02</v>
      </c>
      <c r="T13" s="284">
        <v>5.74</v>
      </c>
      <c r="U13" s="284">
        <v>8.76</v>
      </c>
      <c r="V13" s="288">
        <f t="shared" si="3"/>
        <v>0.34474885844748859</v>
      </c>
      <c r="W13" s="286">
        <v>3.7</v>
      </c>
      <c r="X13" s="286">
        <v>3.01</v>
      </c>
      <c r="Y13" s="286">
        <v>5.76</v>
      </c>
      <c r="Z13" s="286">
        <v>8.77</v>
      </c>
      <c r="AA13" s="288">
        <f t="shared" si="4"/>
        <v>0.34321550741163054</v>
      </c>
      <c r="AB13" s="286">
        <v>3.71</v>
      </c>
      <c r="AC13" s="286">
        <v>3.03</v>
      </c>
      <c r="AD13" s="286">
        <v>5.75</v>
      </c>
      <c r="AE13" s="286">
        <v>8.7799999999999994</v>
      </c>
      <c r="AF13" s="288">
        <f t="shared" si="5"/>
        <v>0.34510250569476081</v>
      </c>
      <c r="AG13" s="283">
        <f t="shared" si="6"/>
        <v>0.34203850369957539</v>
      </c>
    </row>
    <row r="14" spans="1:33" x14ac:dyDescent="0.3">
      <c r="A14" s="280"/>
      <c r="B14" s="280" t="s">
        <v>173</v>
      </c>
      <c r="C14" s="286">
        <v>3.65</v>
      </c>
      <c r="D14" s="286">
        <v>3.03</v>
      </c>
      <c r="E14" s="286">
        <v>5.73</v>
      </c>
      <c r="F14" s="286">
        <v>8.76</v>
      </c>
      <c r="G14" s="287">
        <f t="shared" si="0"/>
        <v>0.3458904109589041</v>
      </c>
      <c r="H14" s="286">
        <v>3.64</v>
      </c>
      <c r="I14" s="286">
        <v>3.03</v>
      </c>
      <c r="J14" s="286">
        <v>5.76</v>
      </c>
      <c r="K14" s="286">
        <v>8.7899999999999991</v>
      </c>
      <c r="L14" s="288">
        <f t="shared" si="1"/>
        <v>0.34470989761092152</v>
      </c>
      <c r="M14" s="284">
        <v>3.69</v>
      </c>
      <c r="N14" s="284">
        <v>3.07</v>
      </c>
      <c r="O14" s="284">
        <v>5.74</v>
      </c>
      <c r="P14" s="284">
        <v>8.81</v>
      </c>
      <c r="Q14" s="288">
        <f t="shared" si="2"/>
        <v>0.34846765039727579</v>
      </c>
      <c r="R14" s="284">
        <v>3.74</v>
      </c>
      <c r="S14" s="284">
        <v>3.1</v>
      </c>
      <c r="T14" s="284">
        <v>5.73</v>
      </c>
      <c r="U14" s="284">
        <v>8.83</v>
      </c>
      <c r="V14" s="288">
        <f t="shared" si="3"/>
        <v>0.35107587768969423</v>
      </c>
      <c r="W14" s="286">
        <v>3.73</v>
      </c>
      <c r="X14" s="286">
        <v>3.06</v>
      </c>
      <c r="Y14" s="286">
        <v>5.73</v>
      </c>
      <c r="Z14" s="286">
        <v>8.7899999999999991</v>
      </c>
      <c r="AA14" s="288">
        <f t="shared" si="4"/>
        <v>0.34812286689419797</v>
      </c>
      <c r="AB14" s="286">
        <v>3.77</v>
      </c>
      <c r="AC14" s="286">
        <v>3.1</v>
      </c>
      <c r="AD14" s="286">
        <v>5.74</v>
      </c>
      <c r="AE14" s="286">
        <v>8.84</v>
      </c>
      <c r="AF14" s="288">
        <f t="shared" si="5"/>
        <v>0.35067873303167424</v>
      </c>
      <c r="AG14" s="283">
        <f t="shared" si="6"/>
        <v>0.34815757276377801</v>
      </c>
    </row>
    <row r="15" spans="1:33" x14ac:dyDescent="0.3">
      <c r="A15" s="280"/>
      <c r="B15" s="280" t="s">
        <v>174</v>
      </c>
      <c r="C15" s="286">
        <v>3.78</v>
      </c>
      <c r="D15" s="286">
        <v>3.12</v>
      </c>
      <c r="E15" s="286">
        <v>5.74</v>
      </c>
      <c r="F15" s="286">
        <v>8.86</v>
      </c>
      <c r="G15" s="287">
        <f t="shared" si="0"/>
        <v>0.3521444695259594</v>
      </c>
      <c r="H15" s="286">
        <v>3.74</v>
      </c>
      <c r="I15" s="286">
        <v>3.11</v>
      </c>
      <c r="J15" s="286">
        <v>5.75</v>
      </c>
      <c r="K15" s="286">
        <v>8.86</v>
      </c>
      <c r="L15" s="288">
        <f t="shared" si="1"/>
        <v>0.3510158013544018</v>
      </c>
      <c r="M15" s="284">
        <v>3.78</v>
      </c>
      <c r="N15" s="284">
        <v>3.14</v>
      </c>
      <c r="O15" s="284">
        <v>5.74</v>
      </c>
      <c r="P15" s="284">
        <v>8.8800000000000008</v>
      </c>
      <c r="Q15" s="288">
        <f t="shared" si="2"/>
        <v>0.3536036036036036</v>
      </c>
      <c r="R15" s="284">
        <v>3.88</v>
      </c>
      <c r="S15" s="284">
        <v>3.17</v>
      </c>
      <c r="T15" s="284">
        <v>5.73</v>
      </c>
      <c r="U15" s="284">
        <v>8.9</v>
      </c>
      <c r="V15" s="288">
        <f t="shared" si="3"/>
        <v>0.35617977528089884</v>
      </c>
      <c r="W15" s="286">
        <v>3.86</v>
      </c>
      <c r="X15" s="286">
        <v>3.16</v>
      </c>
      <c r="Y15" s="286">
        <v>5.71</v>
      </c>
      <c r="Z15" s="286">
        <v>8.8800000000000008</v>
      </c>
      <c r="AA15" s="288">
        <f t="shared" si="4"/>
        <v>0.35585585585585583</v>
      </c>
      <c r="AB15" s="286">
        <v>3.86</v>
      </c>
      <c r="AC15" s="286">
        <v>3.16</v>
      </c>
      <c r="AD15" s="286">
        <v>5.75</v>
      </c>
      <c r="AE15" s="286">
        <v>8.9</v>
      </c>
      <c r="AF15" s="288">
        <f t="shared" si="5"/>
        <v>0.35505617977528092</v>
      </c>
      <c r="AG15" s="283">
        <f t="shared" si="6"/>
        <v>0.35397594756600004</v>
      </c>
    </row>
    <row r="16" spans="1:33" x14ac:dyDescent="0.3">
      <c r="A16" s="280"/>
      <c r="B16" s="280" t="s">
        <v>175</v>
      </c>
      <c r="C16" s="286">
        <v>3.78</v>
      </c>
      <c r="D16" s="286">
        <v>3.1</v>
      </c>
      <c r="E16" s="286">
        <v>5.72</v>
      </c>
      <c r="F16" s="286">
        <v>8.82</v>
      </c>
      <c r="G16" s="287">
        <f t="shared" si="0"/>
        <v>0.35147392290249435</v>
      </c>
      <c r="H16" s="286">
        <v>3.83</v>
      </c>
      <c r="I16" s="286">
        <v>3.14</v>
      </c>
      <c r="J16" s="286">
        <v>5.75</v>
      </c>
      <c r="K16" s="286">
        <v>8.89</v>
      </c>
      <c r="L16" s="288">
        <f t="shared" si="1"/>
        <v>0.35320584926884141</v>
      </c>
      <c r="M16" s="284">
        <v>3.86</v>
      </c>
      <c r="N16" s="284">
        <v>3.17</v>
      </c>
      <c r="O16" s="284">
        <v>5.74</v>
      </c>
      <c r="P16" s="284">
        <v>8.91</v>
      </c>
      <c r="Q16" s="288">
        <f t="shared" si="2"/>
        <v>0.3557800224466891</v>
      </c>
      <c r="R16" s="284">
        <v>3.91</v>
      </c>
      <c r="S16" s="284">
        <v>3.18</v>
      </c>
      <c r="T16" s="284">
        <v>5.72</v>
      </c>
      <c r="U16" s="284">
        <v>8.9</v>
      </c>
      <c r="V16" s="288">
        <f t="shared" si="3"/>
        <v>0.35730337078651686</v>
      </c>
      <c r="W16" s="286">
        <v>3.91</v>
      </c>
      <c r="X16" s="286">
        <v>3.18</v>
      </c>
      <c r="Y16" s="286">
        <v>5.72</v>
      </c>
      <c r="Z16" s="286">
        <v>8.9</v>
      </c>
      <c r="AA16" s="288">
        <f t="shared" si="4"/>
        <v>0.35730337078651686</v>
      </c>
      <c r="AB16" s="286">
        <v>3.92</v>
      </c>
      <c r="AC16" s="286">
        <v>3.2</v>
      </c>
      <c r="AD16" s="286">
        <v>5.73</v>
      </c>
      <c r="AE16" s="286">
        <v>8.93</v>
      </c>
      <c r="AF16" s="288">
        <f t="shared" si="5"/>
        <v>0.35834266517357227</v>
      </c>
      <c r="AG16" s="283">
        <f t="shared" si="6"/>
        <v>0.35556820022743851</v>
      </c>
    </row>
    <row r="17" spans="1:33" ht="15" x14ac:dyDescent="0.35">
      <c r="A17" s="280"/>
      <c r="B17" s="280" t="s">
        <v>176</v>
      </c>
      <c r="C17" s="289">
        <v>3.79</v>
      </c>
      <c r="D17" s="289">
        <v>3.11</v>
      </c>
      <c r="E17" s="289">
        <v>5.72</v>
      </c>
      <c r="F17" s="289">
        <v>8.83</v>
      </c>
      <c r="G17" s="290">
        <f t="shared" si="0"/>
        <v>0.35220838052095127</v>
      </c>
      <c r="H17" s="289">
        <v>3.86</v>
      </c>
      <c r="I17" s="289">
        <v>3.13</v>
      </c>
      <c r="J17" s="289">
        <v>5.75</v>
      </c>
      <c r="K17" s="289">
        <v>8.89</v>
      </c>
      <c r="L17" s="291">
        <f t="shared" si="1"/>
        <v>0.35208098987626546</v>
      </c>
      <c r="M17" s="292">
        <v>3.86</v>
      </c>
      <c r="N17" s="292">
        <v>3.16</v>
      </c>
      <c r="O17" s="292">
        <v>5.75</v>
      </c>
      <c r="P17" s="292">
        <v>8.91</v>
      </c>
      <c r="Q17" s="291">
        <f t="shared" si="2"/>
        <v>0.35465768799102132</v>
      </c>
      <c r="R17" s="292">
        <v>3.9</v>
      </c>
      <c r="S17" s="292">
        <v>3.15</v>
      </c>
      <c r="T17" s="292">
        <v>5.74</v>
      </c>
      <c r="U17" s="292">
        <v>8.89</v>
      </c>
      <c r="V17" s="291">
        <f t="shared" si="3"/>
        <v>0.3543307086614173</v>
      </c>
      <c r="W17" s="289">
        <v>3.92</v>
      </c>
      <c r="X17" s="289">
        <v>3.2</v>
      </c>
      <c r="Y17" s="289">
        <v>5.7</v>
      </c>
      <c r="Z17" s="289">
        <v>8.91</v>
      </c>
      <c r="AA17" s="291">
        <f t="shared" si="4"/>
        <v>0.35914702581369251</v>
      </c>
      <c r="AB17" s="289">
        <v>3.88</v>
      </c>
      <c r="AC17" s="289">
        <v>3.18</v>
      </c>
      <c r="AD17" s="289">
        <v>5.74</v>
      </c>
      <c r="AE17" s="289">
        <v>8.92</v>
      </c>
      <c r="AF17" s="291">
        <f t="shared" si="5"/>
        <v>0.3565022421524664</v>
      </c>
      <c r="AG17" s="283">
        <f t="shared" si="6"/>
        <v>0.35482117250263573</v>
      </c>
    </row>
    <row r="18" spans="1:33" x14ac:dyDescent="0.3">
      <c r="A18" s="280" t="s">
        <v>178</v>
      </c>
      <c r="B18" s="280"/>
      <c r="C18" s="284">
        <f>AVERAGE(C6:C17)</f>
        <v>3.7008333333333332</v>
      </c>
      <c r="D18" s="284">
        <f t="shared" ref="D18:AA18" si="7">AVERAGE(D6:D17)</f>
        <v>3.0391666666666666</v>
      </c>
      <c r="E18" s="284">
        <f t="shared" si="7"/>
        <v>5.7283333333333344</v>
      </c>
      <c r="F18" s="284">
        <f t="shared" si="7"/>
        <v>8.7658333333333349</v>
      </c>
      <c r="G18" s="288">
        <f t="shared" si="7"/>
        <v>0.34667980874696136</v>
      </c>
      <c r="H18" s="284">
        <f t="shared" si="7"/>
        <v>3.6741666666666668</v>
      </c>
      <c r="I18" s="284">
        <f t="shared" si="7"/>
        <v>3.0266666666666673</v>
      </c>
      <c r="J18" s="284">
        <f t="shared" si="7"/>
        <v>5.7583333333333329</v>
      </c>
      <c r="K18" s="284">
        <f t="shared" si="7"/>
        <v>8.7883333333333322</v>
      </c>
      <c r="L18" s="293">
        <f t="shared" si="7"/>
        <v>0.34434736060547161</v>
      </c>
      <c r="M18" s="284">
        <f t="shared" si="7"/>
        <v>3.7274999999999996</v>
      </c>
      <c r="N18" s="284">
        <f t="shared" si="7"/>
        <v>3.0641666666666665</v>
      </c>
      <c r="O18" s="284">
        <f t="shared" si="7"/>
        <v>5.7441666666666675</v>
      </c>
      <c r="P18" s="284">
        <f t="shared" si="7"/>
        <v>8.8091666666666661</v>
      </c>
      <c r="Q18" s="288">
        <f t="shared" si="7"/>
        <v>0.34779128178485402</v>
      </c>
      <c r="R18" s="284">
        <f t="shared" si="7"/>
        <v>3.7616666666666672</v>
      </c>
      <c r="S18" s="284">
        <f t="shared" si="7"/>
        <v>3.0850000000000004</v>
      </c>
      <c r="T18" s="284">
        <f t="shared" si="7"/>
        <v>5.748333333333334</v>
      </c>
      <c r="U18" s="284">
        <f t="shared" si="7"/>
        <v>8.8350000000000009</v>
      </c>
      <c r="V18" s="288">
        <f t="shared" si="7"/>
        <v>0.34914479695038403</v>
      </c>
      <c r="W18" s="284">
        <f t="shared" si="7"/>
        <v>3.8125</v>
      </c>
      <c r="X18" s="284">
        <f t="shared" si="7"/>
        <v>3.1041666666666665</v>
      </c>
      <c r="Y18" s="284">
        <f t="shared" si="7"/>
        <v>5.7383333333333324</v>
      </c>
      <c r="Z18" s="284">
        <f t="shared" si="7"/>
        <v>8.8458333333333332</v>
      </c>
      <c r="AA18" s="288">
        <f t="shared" si="7"/>
        <v>0.35088636098955123</v>
      </c>
      <c r="AB18" s="284">
        <f>AVERAGE(AB6:AB17)</f>
        <v>3.8016666666666676</v>
      </c>
      <c r="AC18" s="284">
        <f t="shared" ref="AC18:AF18" si="8">AVERAGE(AC6:AC17)</f>
        <v>3.1141666666666672</v>
      </c>
      <c r="AD18" s="284">
        <f t="shared" si="8"/>
        <v>5.73</v>
      </c>
      <c r="AE18" s="284">
        <f t="shared" si="8"/>
        <v>8.8433333333333355</v>
      </c>
      <c r="AF18" s="288">
        <f t="shared" si="8"/>
        <v>0.35211617203381912</v>
      </c>
      <c r="AG18" s="284"/>
    </row>
    <row r="19" spans="1:33" x14ac:dyDescent="0.3">
      <c r="A19" s="280" t="s">
        <v>179</v>
      </c>
      <c r="B19" s="280"/>
      <c r="C19" s="280">
        <v>0.27</v>
      </c>
      <c r="D19" s="280">
        <v>0.15</v>
      </c>
      <c r="E19" s="280">
        <v>0.09</v>
      </c>
      <c r="F19" s="280">
        <v>0.17</v>
      </c>
      <c r="G19" s="280"/>
      <c r="H19" s="280">
        <v>0.28999999999999998</v>
      </c>
      <c r="I19" s="280">
        <v>0.16</v>
      </c>
      <c r="J19" s="280">
        <v>0.09</v>
      </c>
      <c r="K19" s="280">
        <v>0.18</v>
      </c>
      <c r="L19" s="280"/>
      <c r="M19" s="280">
        <v>0.28999999999999998</v>
      </c>
      <c r="N19" s="280">
        <v>0.16</v>
      </c>
      <c r="O19" s="280">
        <v>0.09</v>
      </c>
      <c r="P19" s="280">
        <v>0.19</v>
      </c>
      <c r="Q19" s="280"/>
      <c r="R19" s="280">
        <v>0.28000000000000003</v>
      </c>
      <c r="S19" s="280">
        <v>0.16</v>
      </c>
      <c r="T19" s="280">
        <v>0.08</v>
      </c>
      <c r="U19" s="280">
        <v>0.18</v>
      </c>
      <c r="V19" s="280"/>
      <c r="W19" s="285">
        <v>0.3</v>
      </c>
      <c r="X19" s="280">
        <v>0.16</v>
      </c>
      <c r="Y19" s="280">
        <v>0.08</v>
      </c>
      <c r="Z19" s="280">
        <v>0.18</v>
      </c>
      <c r="AA19" s="280"/>
      <c r="AB19" s="280">
        <v>0.31</v>
      </c>
      <c r="AC19" s="280">
        <v>0.17</v>
      </c>
      <c r="AD19" s="280">
        <v>0.08</v>
      </c>
      <c r="AE19" s="280">
        <v>0.18</v>
      </c>
      <c r="AF19" s="280"/>
      <c r="AG19" s="280"/>
    </row>
    <row r="20" spans="1:33" x14ac:dyDescent="0.3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</row>
    <row r="21" spans="1:33" x14ac:dyDescent="0.3">
      <c r="A21" s="280" t="s">
        <v>180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</row>
    <row r="22" spans="1:33" x14ac:dyDescent="0.3">
      <c r="A22" s="280"/>
      <c r="B22" s="280" t="s">
        <v>57</v>
      </c>
      <c r="C22" s="280">
        <f>AVERAGE(C19,H19,M19,R19,W19,AB19)</f>
        <v>0.29000000000000004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</row>
    <row r="23" spans="1:33" x14ac:dyDescent="0.3">
      <c r="A23" s="280"/>
      <c r="B23" s="280" t="s">
        <v>58</v>
      </c>
      <c r="C23" s="280">
        <f>AVERAGE(D19,I19,N19,S19,X19,AC19)</f>
        <v>0.16</v>
      </c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</row>
    <row r="24" spans="1:33" x14ac:dyDescent="0.3">
      <c r="A24" s="280"/>
      <c r="B24" s="280" t="s">
        <v>59</v>
      </c>
      <c r="C24" s="280">
        <f>AVERAGE(E19,J19,O19,T19,Y19,AD19)</f>
        <v>8.5000000000000006E-2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</row>
    <row r="25" spans="1:33" x14ac:dyDescent="0.3">
      <c r="A25" s="280"/>
      <c r="B25" s="280" t="s">
        <v>15</v>
      </c>
      <c r="C25" s="280">
        <f>AVERAGE(F19,K19,P19,U19,Z19,AE19)</f>
        <v>0.17999999999999997</v>
      </c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</row>
    <row r="27" spans="1:33" x14ac:dyDescent="0.3">
      <c r="A27" t="s">
        <v>250</v>
      </c>
    </row>
  </sheetData>
  <sheetProtection algorithmName="SHA-512" hashValue="WL4QWIZV/viq9xtpYKSsUGMpG6c/n4NcL+ZX0LM6DaE2LPhLlBYmSQ4nUVCB3CAh9vzjWs4LSvcKY3wV2OLgnw==" saltValue="nSeU4cSQR/9sOtE7TfVtDQ==" spinCount="100000" sheet="1" objects="1" scenarios="1" selectLockedCells="1" selectUnlockedCells="1"/>
  <mergeCells count="6">
    <mergeCell ref="AB4:AF4"/>
    <mergeCell ref="C4:G4"/>
    <mergeCell ref="H4:L4"/>
    <mergeCell ref="M4:Q4"/>
    <mergeCell ref="R4:V4"/>
    <mergeCell ref="W4:AA4"/>
  </mergeCells>
  <printOptions gridLines="1"/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workbookViewId="0">
      <selection activeCell="A81" sqref="A81:XFD81"/>
    </sheetView>
  </sheetViews>
  <sheetFormatPr defaultColWidth="17.44140625" defaultRowHeight="14.4" x14ac:dyDescent="0.3"/>
  <cols>
    <col min="1" max="1" width="9.109375" style="10" customWidth="1"/>
    <col min="2" max="2" width="12.6640625" style="10" customWidth="1"/>
    <col min="3" max="4" width="15.88671875" style="216" customWidth="1"/>
    <col min="5" max="5" width="16.33203125" style="216" customWidth="1"/>
    <col min="6" max="6" width="11.88671875" style="5" customWidth="1"/>
    <col min="7" max="7" width="15.88671875" style="216" customWidth="1"/>
    <col min="8" max="8" width="15.44140625" style="5" customWidth="1"/>
    <col min="9" max="16384" width="17.44140625" style="5"/>
  </cols>
  <sheetData>
    <row r="1" spans="1:11" x14ac:dyDescent="0.3">
      <c r="A1" s="134" t="s">
        <v>251</v>
      </c>
    </row>
    <row r="2" spans="1:11" s="3" customFormat="1" ht="15" thickBot="1" x14ac:dyDescent="0.35">
      <c r="A2" s="439" t="s">
        <v>273</v>
      </c>
      <c r="B2" s="439"/>
      <c r="C2" s="439"/>
      <c r="D2" s="439"/>
      <c r="E2" s="439"/>
      <c r="F2" s="439"/>
      <c r="G2" s="439"/>
      <c r="H2" s="439"/>
    </row>
    <row r="3" spans="1:11" s="3" customFormat="1" ht="15" thickBot="1" x14ac:dyDescent="0.35">
      <c r="A3" s="440" t="s">
        <v>36</v>
      </c>
      <c r="B3" s="443" t="s">
        <v>37</v>
      </c>
      <c r="C3" s="446" t="s">
        <v>32</v>
      </c>
      <c r="D3" s="447"/>
      <c r="E3" s="448"/>
      <c r="F3" s="449" t="s">
        <v>123</v>
      </c>
      <c r="G3" s="450"/>
      <c r="H3" s="451"/>
    </row>
    <row r="4" spans="1:11" s="3" customFormat="1" x14ac:dyDescent="0.3">
      <c r="A4" s="441"/>
      <c r="B4" s="444"/>
      <c r="C4" s="204" t="s">
        <v>40</v>
      </c>
      <c r="D4" s="205" t="s">
        <v>41</v>
      </c>
      <c r="E4" s="205" t="s">
        <v>25</v>
      </c>
      <c r="F4" s="206" t="s">
        <v>19</v>
      </c>
      <c r="G4" s="207" t="s">
        <v>15</v>
      </c>
      <c r="H4" s="194" t="s">
        <v>25</v>
      </c>
      <c r="I4" s="437" t="s">
        <v>124</v>
      </c>
    </row>
    <row r="5" spans="1:11" ht="15" thickBot="1" x14ac:dyDescent="0.35">
      <c r="A5" s="442"/>
      <c r="B5" s="445"/>
      <c r="C5" s="208" t="s">
        <v>28</v>
      </c>
      <c r="D5" s="209" t="s">
        <v>28</v>
      </c>
      <c r="E5" s="209" t="s">
        <v>28</v>
      </c>
      <c r="F5" s="78" t="s">
        <v>28</v>
      </c>
      <c r="G5" s="209" t="s">
        <v>28</v>
      </c>
      <c r="H5" s="210" t="s">
        <v>28</v>
      </c>
      <c r="I5" s="438"/>
      <c r="J5" s="3"/>
      <c r="K5" s="3"/>
    </row>
    <row r="6" spans="1:11" x14ac:dyDescent="0.2">
      <c r="A6" s="23">
        <v>2009</v>
      </c>
      <c r="B6" s="211" t="s">
        <v>2</v>
      </c>
      <c r="C6" s="212">
        <v>560167.97</v>
      </c>
      <c r="D6" s="212">
        <v>2435274.9300000002</v>
      </c>
      <c r="E6" s="212">
        <f t="shared" ref="E6:E69" si="0">SUM(C6:D6)</f>
        <v>2995442.9000000004</v>
      </c>
      <c r="F6" s="213">
        <v>-1833.79</v>
      </c>
      <c r="G6" s="212">
        <v>-283820.49</v>
      </c>
      <c r="H6" s="214">
        <f t="shared" ref="H6:H69" si="1">+F6+G6</f>
        <v>-285654.27999999997</v>
      </c>
      <c r="I6" s="215">
        <v>3281097.18</v>
      </c>
    </row>
    <row r="7" spans="1:11" x14ac:dyDescent="0.2">
      <c r="A7" s="23">
        <v>2009</v>
      </c>
      <c r="B7" s="211" t="s">
        <v>3</v>
      </c>
      <c r="C7" s="212">
        <v>507663.57</v>
      </c>
      <c r="D7" s="212">
        <v>2342199.11</v>
      </c>
      <c r="E7" s="212">
        <f t="shared" si="0"/>
        <v>2849862.6799999997</v>
      </c>
      <c r="F7" s="213">
        <v>-2044.3300000000002</v>
      </c>
      <c r="G7" s="212">
        <v>-174693.69999999998</v>
      </c>
      <c r="H7" s="214">
        <f t="shared" si="1"/>
        <v>-176738.02999999997</v>
      </c>
      <c r="I7" s="215">
        <v>3026600.7099999995</v>
      </c>
    </row>
    <row r="8" spans="1:11" x14ac:dyDescent="0.2">
      <c r="A8" s="23">
        <v>2009</v>
      </c>
      <c r="B8" s="211" t="s">
        <v>4</v>
      </c>
      <c r="C8" s="212">
        <v>545827.15</v>
      </c>
      <c r="D8" s="212">
        <v>2538327.1</v>
      </c>
      <c r="E8" s="212">
        <f t="shared" si="0"/>
        <v>3084154.25</v>
      </c>
      <c r="F8" s="213">
        <v>-3621.9500000000003</v>
      </c>
      <c r="G8" s="212">
        <v>-265686.77</v>
      </c>
      <c r="H8" s="214">
        <f t="shared" si="1"/>
        <v>-269308.72000000003</v>
      </c>
      <c r="I8" s="215">
        <v>3353462.97</v>
      </c>
    </row>
    <row r="9" spans="1:11" x14ac:dyDescent="0.2">
      <c r="A9" s="23">
        <v>2009</v>
      </c>
      <c r="B9" s="211" t="s">
        <v>5</v>
      </c>
      <c r="C9" s="212">
        <v>527065.93000000005</v>
      </c>
      <c r="D9" s="212">
        <v>2386630.5299999998</v>
      </c>
      <c r="E9" s="212">
        <f t="shared" si="0"/>
        <v>2913696.46</v>
      </c>
      <c r="F9" s="213">
        <v>-2184.19</v>
      </c>
      <c r="G9" s="212">
        <v>-181273.47</v>
      </c>
      <c r="H9" s="214">
        <f t="shared" si="1"/>
        <v>-183457.66</v>
      </c>
      <c r="I9" s="215">
        <v>3097154.12</v>
      </c>
    </row>
    <row r="10" spans="1:11" x14ac:dyDescent="0.2">
      <c r="A10" s="23">
        <v>2009</v>
      </c>
      <c r="B10" s="211" t="s">
        <v>6</v>
      </c>
      <c r="C10" s="212">
        <v>528439.77</v>
      </c>
      <c r="D10" s="212">
        <v>2548549.61</v>
      </c>
      <c r="E10" s="212">
        <f t="shared" si="0"/>
        <v>3076989.38</v>
      </c>
      <c r="F10" s="213">
        <v>-1971.2099999999998</v>
      </c>
      <c r="G10" s="212">
        <v>-170477.85</v>
      </c>
      <c r="H10" s="214">
        <f t="shared" si="1"/>
        <v>-172449.06</v>
      </c>
      <c r="I10" s="215">
        <v>3249438.44</v>
      </c>
    </row>
    <row r="11" spans="1:11" x14ac:dyDescent="0.2">
      <c r="A11" s="23">
        <v>2009</v>
      </c>
      <c r="B11" s="211" t="s">
        <v>7</v>
      </c>
      <c r="C11" s="212">
        <v>495014.99</v>
      </c>
      <c r="D11" s="212">
        <v>2444276.4900000002</v>
      </c>
      <c r="E11" s="212">
        <f t="shared" si="0"/>
        <v>2939291.4800000004</v>
      </c>
      <c r="F11" s="213">
        <v>-1994.9699999999998</v>
      </c>
      <c r="G11" s="212">
        <v>-173573.57</v>
      </c>
      <c r="H11" s="214">
        <f t="shared" si="1"/>
        <v>-175568.54</v>
      </c>
      <c r="I11" s="215">
        <v>3114860.0200000005</v>
      </c>
    </row>
    <row r="12" spans="1:11" x14ac:dyDescent="0.2">
      <c r="A12" s="23">
        <v>2009</v>
      </c>
      <c r="B12" s="211" t="s">
        <v>8</v>
      </c>
      <c r="C12" s="212">
        <v>510824.95</v>
      </c>
      <c r="D12" s="212">
        <v>2482351.12</v>
      </c>
      <c r="E12" s="212">
        <f t="shared" si="0"/>
        <v>2993176.0700000003</v>
      </c>
      <c r="F12" s="213">
        <v>-1905.29</v>
      </c>
      <c r="G12" s="212">
        <v>-165264.19</v>
      </c>
      <c r="H12" s="214">
        <f t="shared" si="1"/>
        <v>-167169.48000000001</v>
      </c>
      <c r="I12" s="215">
        <v>3160345.5500000003</v>
      </c>
    </row>
    <row r="13" spans="1:11" x14ac:dyDescent="0.2">
      <c r="A13" s="23">
        <v>2009</v>
      </c>
      <c r="B13" s="211" t="s">
        <v>9</v>
      </c>
      <c r="C13" s="212">
        <v>517930.81</v>
      </c>
      <c r="D13" s="212">
        <v>2720060.44</v>
      </c>
      <c r="E13" s="212">
        <f t="shared" si="0"/>
        <v>3237991.25</v>
      </c>
      <c r="F13" s="213">
        <v>-1902.31</v>
      </c>
      <c r="G13" s="212">
        <v>-170975.31</v>
      </c>
      <c r="H13" s="214">
        <f t="shared" si="1"/>
        <v>-172877.62</v>
      </c>
      <c r="I13" s="215">
        <v>3410868.87</v>
      </c>
    </row>
    <row r="14" spans="1:11" x14ac:dyDescent="0.2">
      <c r="A14" s="23">
        <v>2009</v>
      </c>
      <c r="B14" s="211" t="s">
        <v>10</v>
      </c>
      <c r="C14" s="212">
        <v>512676.35</v>
      </c>
      <c r="D14" s="212">
        <v>2666950.4700000002</v>
      </c>
      <c r="E14" s="212">
        <f t="shared" si="0"/>
        <v>3179626.8200000003</v>
      </c>
      <c r="F14" s="213">
        <v>-1971.13</v>
      </c>
      <c r="G14" s="212">
        <v>-171865.39</v>
      </c>
      <c r="H14" s="214">
        <f t="shared" si="1"/>
        <v>-173836.52000000002</v>
      </c>
      <c r="I14" s="215">
        <v>3353463.3400000003</v>
      </c>
    </row>
    <row r="15" spans="1:11" x14ac:dyDescent="0.2">
      <c r="A15" s="23">
        <v>2009</v>
      </c>
      <c r="B15" s="211" t="s">
        <v>11</v>
      </c>
      <c r="C15" s="212">
        <v>536361.93999999994</v>
      </c>
      <c r="D15" s="212">
        <v>2697554.53</v>
      </c>
      <c r="E15" s="212">
        <f t="shared" si="0"/>
        <v>3233916.4699999997</v>
      </c>
      <c r="F15" s="213">
        <v>-1969.83</v>
      </c>
      <c r="G15" s="212">
        <v>-166524.5</v>
      </c>
      <c r="H15" s="214">
        <f t="shared" si="1"/>
        <v>-168494.33</v>
      </c>
      <c r="I15" s="215">
        <v>3402410.8</v>
      </c>
    </row>
    <row r="16" spans="1:11" x14ac:dyDescent="0.2">
      <c r="A16" s="23">
        <v>2009</v>
      </c>
      <c r="B16" s="211" t="s">
        <v>12</v>
      </c>
      <c r="C16" s="212">
        <v>514076.32</v>
      </c>
      <c r="D16" s="212">
        <v>2480487.31</v>
      </c>
      <c r="E16" s="212">
        <f t="shared" si="0"/>
        <v>2994563.63</v>
      </c>
      <c r="F16" s="221">
        <v>-2110.06</v>
      </c>
      <c r="G16" s="212">
        <v>-181205.38999999998</v>
      </c>
      <c r="H16" s="214">
        <f t="shared" si="1"/>
        <v>-183315.44999999998</v>
      </c>
      <c r="I16" s="215">
        <v>3177879.08</v>
      </c>
    </row>
    <row r="17" spans="1:11" s="3" customFormat="1" x14ac:dyDescent="0.2">
      <c r="A17" s="223">
        <v>2009</v>
      </c>
      <c r="B17" s="12" t="s">
        <v>13</v>
      </c>
      <c r="C17" s="224">
        <v>523335.98</v>
      </c>
      <c r="D17" s="224">
        <v>2490754.7200000002</v>
      </c>
      <c r="E17" s="224">
        <f t="shared" si="0"/>
        <v>3014090.7</v>
      </c>
      <c r="F17" s="225">
        <v>-2109.62</v>
      </c>
      <c r="G17" s="224">
        <v>-180891.74</v>
      </c>
      <c r="H17" s="220">
        <f t="shared" si="1"/>
        <v>-183001.36</v>
      </c>
      <c r="I17" s="215">
        <v>3197092.06</v>
      </c>
      <c r="J17" s="5"/>
      <c r="K17" s="5"/>
    </row>
    <row r="18" spans="1:11" x14ac:dyDescent="0.2">
      <c r="A18" s="23">
        <v>2010</v>
      </c>
      <c r="B18" s="211" t="s">
        <v>2</v>
      </c>
      <c r="C18" s="212">
        <v>523964.3</v>
      </c>
      <c r="D18" s="212">
        <v>2531329.69</v>
      </c>
      <c r="E18" s="212">
        <f t="shared" si="0"/>
        <v>3055293.9899999998</v>
      </c>
      <c r="F18" s="222">
        <v>-2320.8199999999997</v>
      </c>
      <c r="G18" s="212">
        <v>-194914.33000000002</v>
      </c>
      <c r="H18" s="214">
        <f t="shared" si="1"/>
        <v>-197235.15000000002</v>
      </c>
      <c r="I18" s="215">
        <v>3252529.1399999997</v>
      </c>
    </row>
    <row r="19" spans="1:11" x14ac:dyDescent="0.2">
      <c r="A19" s="23">
        <v>2010</v>
      </c>
      <c r="B19" s="211" t="s">
        <v>3</v>
      </c>
      <c r="C19" s="212">
        <v>475081.86</v>
      </c>
      <c r="D19" s="212">
        <v>2398637.59</v>
      </c>
      <c r="E19" s="212">
        <f t="shared" si="0"/>
        <v>2873719.4499999997</v>
      </c>
      <c r="F19" s="213">
        <v>-2262.7600000000002</v>
      </c>
      <c r="G19" s="212">
        <v>-195653.90000000002</v>
      </c>
      <c r="H19" s="214">
        <f t="shared" si="1"/>
        <v>-197916.66000000003</v>
      </c>
      <c r="I19" s="215">
        <v>3071636.11</v>
      </c>
    </row>
    <row r="20" spans="1:11" x14ac:dyDescent="0.2">
      <c r="A20" s="23">
        <v>2010</v>
      </c>
      <c r="B20" s="211" t="s">
        <v>4</v>
      </c>
      <c r="C20" s="212">
        <v>512317.45</v>
      </c>
      <c r="D20" s="212">
        <v>2616553.89</v>
      </c>
      <c r="E20" s="212">
        <f t="shared" si="0"/>
        <v>3128871.3400000003</v>
      </c>
      <c r="F20" s="213">
        <v>-5618.6900000000005</v>
      </c>
      <c r="G20" s="212">
        <v>-172764.26</v>
      </c>
      <c r="H20" s="214">
        <f t="shared" si="1"/>
        <v>-178382.95</v>
      </c>
      <c r="I20" s="215">
        <v>3307254.2900000005</v>
      </c>
    </row>
    <row r="21" spans="1:11" x14ac:dyDescent="0.2">
      <c r="A21" s="23">
        <v>2010</v>
      </c>
      <c r="B21" s="211" t="s">
        <v>5</v>
      </c>
      <c r="C21" s="212">
        <v>492536.47</v>
      </c>
      <c r="D21" s="212">
        <v>2563385.77</v>
      </c>
      <c r="E21" s="212">
        <f t="shared" si="0"/>
        <v>3055922.24</v>
      </c>
      <c r="F21" s="213">
        <v>-2323.9700000000003</v>
      </c>
      <c r="G21" s="212">
        <v>-196011.21</v>
      </c>
      <c r="H21" s="214">
        <f t="shared" si="1"/>
        <v>-198335.18</v>
      </c>
      <c r="I21" s="215">
        <v>3254257.4200000004</v>
      </c>
    </row>
    <row r="22" spans="1:11" x14ac:dyDescent="0.2">
      <c r="A22" s="23">
        <v>2010</v>
      </c>
      <c r="B22" s="211" t="s">
        <v>6</v>
      </c>
      <c r="C22" s="212">
        <v>495953.6</v>
      </c>
      <c r="D22" s="212">
        <v>2671572.8199999998</v>
      </c>
      <c r="E22" s="212">
        <f t="shared" si="0"/>
        <v>3167526.42</v>
      </c>
      <c r="F22" s="213">
        <v>-2216.39</v>
      </c>
      <c r="G22" s="212">
        <v>-191936.38</v>
      </c>
      <c r="H22" s="214">
        <f t="shared" si="1"/>
        <v>-194152.77000000002</v>
      </c>
      <c r="I22" s="215">
        <v>3361679.19</v>
      </c>
    </row>
    <row r="23" spans="1:11" x14ac:dyDescent="0.2">
      <c r="A23" s="23">
        <v>2010</v>
      </c>
      <c r="B23" s="211" t="s">
        <v>7</v>
      </c>
      <c r="C23" s="212">
        <v>438458.01</v>
      </c>
      <c r="D23" s="212">
        <v>2505805.59</v>
      </c>
      <c r="E23" s="212">
        <f t="shared" si="0"/>
        <v>2944263.5999999996</v>
      </c>
      <c r="F23" s="213">
        <v>-2276.09</v>
      </c>
      <c r="G23" s="212">
        <v>-194447.35</v>
      </c>
      <c r="H23" s="214">
        <f t="shared" si="1"/>
        <v>-196723.44</v>
      </c>
      <c r="I23" s="215">
        <v>3140987.0399999996</v>
      </c>
    </row>
    <row r="24" spans="1:11" x14ac:dyDescent="0.2">
      <c r="A24" s="23">
        <v>2010</v>
      </c>
      <c r="B24" s="211" t="s">
        <v>8</v>
      </c>
      <c r="C24" s="212">
        <v>445443.98</v>
      </c>
      <c r="D24" s="212">
        <v>2483435.88</v>
      </c>
      <c r="E24" s="212">
        <f t="shared" si="0"/>
        <v>2928879.86</v>
      </c>
      <c r="F24" s="213">
        <v>-2152.25</v>
      </c>
      <c r="G24" s="212">
        <v>-184508.12</v>
      </c>
      <c r="H24" s="214">
        <f t="shared" si="1"/>
        <v>-186660.37</v>
      </c>
      <c r="I24" s="215">
        <v>3115540.23</v>
      </c>
    </row>
    <row r="25" spans="1:11" x14ac:dyDescent="0.2">
      <c r="A25" s="23">
        <v>2010</v>
      </c>
      <c r="B25" s="211" t="s">
        <v>9</v>
      </c>
      <c r="C25" s="212">
        <v>469257.3</v>
      </c>
      <c r="D25" s="212">
        <v>2479399.4900000002</v>
      </c>
      <c r="E25" s="212">
        <f t="shared" si="0"/>
        <v>2948656.79</v>
      </c>
      <c r="F25" s="213">
        <v>-2435.8199999999997</v>
      </c>
      <c r="G25" s="212">
        <v>-191981.19</v>
      </c>
      <c r="H25" s="214">
        <f t="shared" si="1"/>
        <v>-194417.01</v>
      </c>
      <c r="I25" s="215">
        <v>3143073.8</v>
      </c>
    </row>
    <row r="26" spans="1:11" x14ac:dyDescent="0.2">
      <c r="A26" s="23">
        <v>2010</v>
      </c>
      <c r="B26" s="211" t="s">
        <v>10</v>
      </c>
      <c r="C26" s="212">
        <v>463791.61</v>
      </c>
      <c r="D26" s="212">
        <v>2489452.17</v>
      </c>
      <c r="E26" s="212">
        <f t="shared" si="0"/>
        <v>2953243.78</v>
      </c>
      <c r="F26" s="213">
        <v>-2469.69</v>
      </c>
      <c r="G26" s="212">
        <v>-198657.22</v>
      </c>
      <c r="H26" s="214">
        <f t="shared" si="1"/>
        <v>-201126.91</v>
      </c>
      <c r="I26" s="215">
        <v>3154370.69</v>
      </c>
    </row>
    <row r="27" spans="1:11" x14ac:dyDescent="0.2">
      <c r="A27" s="23">
        <v>2010</v>
      </c>
      <c r="B27" s="211" t="s">
        <v>11</v>
      </c>
      <c r="C27" s="212">
        <v>484977.86</v>
      </c>
      <c r="D27" s="212">
        <v>2522742.67</v>
      </c>
      <c r="E27" s="212">
        <f t="shared" si="0"/>
        <v>3007720.53</v>
      </c>
      <c r="F27" s="213">
        <v>-2094.0499999999997</v>
      </c>
      <c r="G27" s="212">
        <v>-177583.92</v>
      </c>
      <c r="H27" s="214">
        <f t="shared" si="1"/>
        <v>-179677.97</v>
      </c>
      <c r="I27" s="215">
        <v>3187398.5</v>
      </c>
    </row>
    <row r="28" spans="1:11" x14ac:dyDescent="0.2">
      <c r="A28" s="23">
        <v>2010</v>
      </c>
      <c r="B28" s="211" t="s">
        <v>12</v>
      </c>
      <c r="C28" s="212">
        <v>476226.46</v>
      </c>
      <c r="D28" s="212">
        <v>2385842.77</v>
      </c>
      <c r="E28" s="212">
        <f t="shared" si="0"/>
        <v>2862069.23</v>
      </c>
      <c r="F28" s="213">
        <v>-2013.59</v>
      </c>
      <c r="G28" s="212">
        <v>-179295.37</v>
      </c>
      <c r="H28" s="214">
        <f t="shared" si="1"/>
        <v>-181308.96</v>
      </c>
      <c r="I28" s="215">
        <v>3043378.19</v>
      </c>
    </row>
    <row r="29" spans="1:11" s="3" customFormat="1" x14ac:dyDescent="0.2">
      <c r="A29" s="23">
        <v>2010</v>
      </c>
      <c r="B29" s="211" t="s">
        <v>13</v>
      </c>
      <c r="C29" s="212">
        <v>484188.24</v>
      </c>
      <c r="D29" s="212">
        <v>2348512.88</v>
      </c>
      <c r="E29" s="212">
        <f t="shared" si="0"/>
        <v>2832701.12</v>
      </c>
      <c r="F29" s="213">
        <v>-2250</v>
      </c>
      <c r="G29" s="212">
        <v>-177303.56</v>
      </c>
      <c r="H29" s="214">
        <f t="shared" si="1"/>
        <v>-179553.56</v>
      </c>
      <c r="I29" s="215">
        <v>3012254.68</v>
      </c>
      <c r="J29" s="5"/>
      <c r="K29" s="5"/>
    </row>
    <row r="30" spans="1:11" x14ac:dyDescent="0.2">
      <c r="A30" s="23">
        <v>2011</v>
      </c>
      <c r="B30" s="211" t="s">
        <v>2</v>
      </c>
      <c r="C30" s="212">
        <v>490174.09</v>
      </c>
      <c r="D30" s="212">
        <v>2471199.54</v>
      </c>
      <c r="E30" s="212">
        <f t="shared" si="0"/>
        <v>2961373.63</v>
      </c>
      <c r="F30" s="213">
        <v>-2209.71</v>
      </c>
      <c r="G30" s="212">
        <v>-179816.19</v>
      </c>
      <c r="H30" s="214">
        <f t="shared" si="1"/>
        <v>-182025.9</v>
      </c>
      <c r="I30" s="215">
        <v>3143399.53</v>
      </c>
    </row>
    <row r="31" spans="1:11" x14ac:dyDescent="0.2">
      <c r="A31" s="23">
        <v>2011</v>
      </c>
      <c r="B31" s="211" t="s">
        <v>3</v>
      </c>
      <c r="C31" s="212">
        <v>434528.77</v>
      </c>
      <c r="D31" s="212">
        <v>2173920.36</v>
      </c>
      <c r="E31" s="212">
        <f t="shared" si="0"/>
        <v>2608449.13</v>
      </c>
      <c r="F31" s="213">
        <v>-2276.9699999999998</v>
      </c>
      <c r="G31" s="212">
        <v>-179712.95</v>
      </c>
      <c r="H31" s="214">
        <f t="shared" si="1"/>
        <v>-181989.92</v>
      </c>
      <c r="I31" s="215">
        <v>2790439.05</v>
      </c>
    </row>
    <row r="32" spans="1:11" x14ac:dyDescent="0.2">
      <c r="A32" s="23">
        <v>2011</v>
      </c>
      <c r="B32" s="211" t="s">
        <v>4</v>
      </c>
      <c r="C32" s="212">
        <v>483693.78</v>
      </c>
      <c r="D32" s="212">
        <v>2468229.08</v>
      </c>
      <c r="E32" s="212">
        <f t="shared" si="0"/>
        <v>2951922.8600000003</v>
      </c>
      <c r="F32" s="213">
        <v>-2087.23</v>
      </c>
      <c r="G32" s="212">
        <v>-163624.20000000001</v>
      </c>
      <c r="H32" s="214">
        <f t="shared" si="1"/>
        <v>-165711.43000000002</v>
      </c>
      <c r="I32" s="215">
        <v>3117634.2900000005</v>
      </c>
    </row>
    <row r="33" spans="1:11" x14ac:dyDescent="0.2">
      <c r="A33" s="23">
        <v>2011</v>
      </c>
      <c r="B33" s="211" t="s">
        <v>5</v>
      </c>
      <c r="C33" s="212">
        <v>427896.89</v>
      </c>
      <c r="D33" s="212">
        <v>2279046.86</v>
      </c>
      <c r="E33" s="212">
        <f t="shared" si="0"/>
        <v>2706943.75</v>
      </c>
      <c r="F33" s="213">
        <v>-2341.42</v>
      </c>
      <c r="G33" s="212">
        <v>-190092.75</v>
      </c>
      <c r="H33" s="214">
        <f t="shared" si="1"/>
        <v>-192434.17</v>
      </c>
      <c r="I33" s="215">
        <v>2899377.92</v>
      </c>
    </row>
    <row r="34" spans="1:11" x14ac:dyDescent="0.2">
      <c r="A34" s="23">
        <v>2011</v>
      </c>
      <c r="B34" s="211" t="s">
        <v>6</v>
      </c>
      <c r="C34" s="212">
        <v>458786.72</v>
      </c>
      <c r="D34" s="212">
        <v>2379812.65</v>
      </c>
      <c r="E34" s="212">
        <f t="shared" si="0"/>
        <v>2838599.37</v>
      </c>
      <c r="F34" s="213">
        <v>-2169.42</v>
      </c>
      <c r="G34" s="212">
        <v>-177042.83000000002</v>
      </c>
      <c r="H34" s="214">
        <f t="shared" si="1"/>
        <v>-179212.25000000003</v>
      </c>
      <c r="I34" s="215">
        <v>3017811.62</v>
      </c>
    </row>
    <row r="35" spans="1:11" x14ac:dyDescent="0.2">
      <c r="A35" s="23">
        <v>2011</v>
      </c>
      <c r="B35" s="211" t="s">
        <v>7</v>
      </c>
      <c r="C35" s="212">
        <v>414279.21</v>
      </c>
      <c r="D35" s="212">
        <v>2223027.67</v>
      </c>
      <c r="E35" s="212">
        <f t="shared" si="0"/>
        <v>2637306.8799999999</v>
      </c>
      <c r="F35" s="213">
        <v>-2174.34</v>
      </c>
      <c r="G35" s="212">
        <v>-179206.7</v>
      </c>
      <c r="H35" s="214">
        <f t="shared" si="1"/>
        <v>-181381.04</v>
      </c>
      <c r="I35" s="215">
        <v>2818687.92</v>
      </c>
    </row>
    <row r="36" spans="1:11" x14ac:dyDescent="0.2">
      <c r="A36" s="23">
        <v>2011</v>
      </c>
      <c r="B36" s="211" t="s">
        <v>8</v>
      </c>
      <c r="C36" s="212">
        <v>430032.32</v>
      </c>
      <c r="D36" s="212">
        <v>2202115.61</v>
      </c>
      <c r="E36" s="212">
        <f t="shared" si="0"/>
        <v>2632147.9299999997</v>
      </c>
      <c r="F36" s="213">
        <v>-1941.06</v>
      </c>
      <c r="G36" s="212">
        <v>-164995.63999999998</v>
      </c>
      <c r="H36" s="214">
        <f t="shared" si="1"/>
        <v>-166936.69999999998</v>
      </c>
      <c r="I36" s="215">
        <v>2799084.63</v>
      </c>
    </row>
    <row r="37" spans="1:11" x14ac:dyDescent="0.2">
      <c r="A37" s="23">
        <v>2011</v>
      </c>
      <c r="B37" s="211" t="s">
        <v>9</v>
      </c>
      <c r="C37" s="212">
        <v>465041.43</v>
      </c>
      <c r="D37" s="212">
        <v>2318537.29</v>
      </c>
      <c r="E37" s="212">
        <f t="shared" si="0"/>
        <v>2783578.72</v>
      </c>
      <c r="F37" s="213">
        <v>-1991.45</v>
      </c>
      <c r="G37" s="212">
        <v>-164145.71</v>
      </c>
      <c r="H37" s="214">
        <f t="shared" si="1"/>
        <v>-166137.16</v>
      </c>
      <c r="I37" s="215">
        <v>2949715.8800000004</v>
      </c>
    </row>
    <row r="38" spans="1:11" x14ac:dyDescent="0.2">
      <c r="A38" s="23">
        <v>2011</v>
      </c>
      <c r="B38" s="211" t="s">
        <v>10</v>
      </c>
      <c r="C38" s="212">
        <v>447521.93</v>
      </c>
      <c r="D38" s="212">
        <v>2323164.66</v>
      </c>
      <c r="E38" s="212">
        <f t="shared" si="0"/>
        <v>2770686.5900000003</v>
      </c>
      <c r="F38" s="213">
        <v>-2143.87</v>
      </c>
      <c r="G38" s="212">
        <v>-175752.27</v>
      </c>
      <c r="H38" s="214">
        <f t="shared" si="1"/>
        <v>-177896.13999999998</v>
      </c>
      <c r="I38" s="215">
        <v>2948582.7300000004</v>
      </c>
    </row>
    <row r="39" spans="1:11" x14ac:dyDescent="0.2">
      <c r="A39" s="23">
        <v>2011</v>
      </c>
      <c r="B39" s="211" t="s">
        <v>11</v>
      </c>
      <c r="C39" s="212">
        <v>488475.99</v>
      </c>
      <c r="D39" s="212">
        <v>2438065.37</v>
      </c>
      <c r="E39" s="212">
        <f t="shared" si="0"/>
        <v>2926541.3600000003</v>
      </c>
      <c r="F39" s="213">
        <v>-2075.38</v>
      </c>
      <c r="G39" s="212">
        <v>-168918.03999999998</v>
      </c>
      <c r="H39" s="214">
        <f t="shared" si="1"/>
        <v>-170993.41999999998</v>
      </c>
      <c r="I39" s="215">
        <v>3097534.7800000003</v>
      </c>
    </row>
    <row r="40" spans="1:11" x14ac:dyDescent="0.2">
      <c r="A40" s="23">
        <v>2011</v>
      </c>
      <c r="B40" s="211" t="s">
        <v>12</v>
      </c>
      <c r="C40" s="212">
        <v>498402.34</v>
      </c>
      <c r="D40" s="212">
        <v>2250885.0699999998</v>
      </c>
      <c r="E40" s="212">
        <f t="shared" si="0"/>
        <v>2749287.4099999997</v>
      </c>
      <c r="F40" s="221">
        <v>-2209.9300000000003</v>
      </c>
      <c r="G40" s="212">
        <v>-175640.67</v>
      </c>
      <c r="H40" s="214">
        <f t="shared" si="1"/>
        <v>-177850.6</v>
      </c>
      <c r="I40" s="215">
        <v>2927138.01</v>
      </c>
    </row>
    <row r="41" spans="1:11" s="3" customFormat="1" x14ac:dyDescent="0.2">
      <c r="A41" s="223">
        <v>2011</v>
      </c>
      <c r="B41" s="12" t="s">
        <v>13</v>
      </c>
      <c r="C41" s="224">
        <v>494483.39</v>
      </c>
      <c r="D41" s="224">
        <v>2170289.84</v>
      </c>
      <c r="E41" s="224">
        <f t="shared" si="0"/>
        <v>2664773.23</v>
      </c>
      <c r="F41" s="225">
        <v>-2226.1799999999998</v>
      </c>
      <c r="G41" s="224">
        <v>-176099.93</v>
      </c>
      <c r="H41" s="220">
        <f t="shared" si="1"/>
        <v>-178326.11</v>
      </c>
      <c r="I41" s="215">
        <v>2843099.34</v>
      </c>
      <c r="J41" s="5"/>
      <c r="K41" s="5"/>
    </row>
    <row r="42" spans="1:11" x14ac:dyDescent="0.2">
      <c r="A42" s="23">
        <v>2012</v>
      </c>
      <c r="B42" s="211" t="s">
        <v>2</v>
      </c>
      <c r="C42" s="212">
        <v>524230.81</v>
      </c>
      <c r="D42" s="212">
        <v>2459823.87</v>
      </c>
      <c r="E42" s="212">
        <f t="shared" si="0"/>
        <v>2984054.68</v>
      </c>
      <c r="F42" s="222">
        <v>-2137.79</v>
      </c>
      <c r="G42" s="212">
        <v>-173072.89</v>
      </c>
      <c r="H42" s="214">
        <f t="shared" si="1"/>
        <v>-175210.68000000002</v>
      </c>
      <c r="I42" s="215">
        <v>3159265.3600000003</v>
      </c>
    </row>
    <row r="43" spans="1:11" x14ac:dyDescent="0.2">
      <c r="A43" s="23">
        <v>2012</v>
      </c>
      <c r="B43" s="211" t="s">
        <v>3</v>
      </c>
      <c r="C43" s="212">
        <v>472921.89</v>
      </c>
      <c r="D43" s="212">
        <v>2296825.25</v>
      </c>
      <c r="E43" s="212">
        <f t="shared" si="0"/>
        <v>2769747.14</v>
      </c>
      <c r="F43" s="213">
        <v>-2052.1999999999998</v>
      </c>
      <c r="G43" s="212">
        <v>-167178.63</v>
      </c>
      <c r="H43" s="214">
        <f t="shared" si="1"/>
        <v>-169230.83000000002</v>
      </c>
      <c r="I43" s="215">
        <v>2938977.97</v>
      </c>
    </row>
    <row r="44" spans="1:11" x14ac:dyDescent="0.2">
      <c r="A44" s="23">
        <v>2012</v>
      </c>
      <c r="B44" s="211" t="s">
        <v>4</v>
      </c>
      <c r="C44" s="212">
        <v>497517.82</v>
      </c>
      <c r="D44" s="212">
        <v>2474110.2000000002</v>
      </c>
      <c r="E44" s="212">
        <f t="shared" si="0"/>
        <v>2971628.02</v>
      </c>
      <c r="F44" s="213">
        <v>-1836.8</v>
      </c>
      <c r="G44" s="212">
        <v>-150016.62</v>
      </c>
      <c r="H44" s="214">
        <f t="shared" si="1"/>
        <v>-151853.41999999998</v>
      </c>
      <c r="I44" s="215">
        <v>3123481.44</v>
      </c>
    </row>
    <row r="45" spans="1:11" x14ac:dyDescent="0.2">
      <c r="A45" s="23">
        <v>2012</v>
      </c>
      <c r="B45" s="211" t="s">
        <v>5</v>
      </c>
      <c r="C45" s="212">
        <v>482432.11</v>
      </c>
      <c r="D45" s="212">
        <v>2374313.5499999998</v>
      </c>
      <c r="E45" s="212">
        <f t="shared" si="0"/>
        <v>2856745.6599999997</v>
      </c>
      <c r="F45" s="213">
        <v>-1986.62</v>
      </c>
      <c r="G45" s="212">
        <v>-160733.98000000001</v>
      </c>
      <c r="H45" s="214">
        <f t="shared" si="1"/>
        <v>-162720.6</v>
      </c>
      <c r="I45" s="215">
        <v>3019466.26</v>
      </c>
    </row>
    <row r="46" spans="1:11" x14ac:dyDescent="0.2">
      <c r="A46" s="23">
        <v>2012</v>
      </c>
      <c r="B46" s="211" t="s">
        <v>6</v>
      </c>
      <c r="C46" s="212">
        <v>482928.53</v>
      </c>
      <c r="D46" s="212">
        <v>2307806.9500000002</v>
      </c>
      <c r="E46" s="212">
        <f t="shared" si="0"/>
        <v>2790735.4800000004</v>
      </c>
      <c r="F46" s="213">
        <v>-1918.42</v>
      </c>
      <c r="G46" s="212">
        <v>-152343.17000000001</v>
      </c>
      <c r="H46" s="214">
        <f t="shared" si="1"/>
        <v>-154261.59000000003</v>
      </c>
      <c r="I46" s="215">
        <v>2944997.0700000003</v>
      </c>
    </row>
    <row r="47" spans="1:11" x14ac:dyDescent="0.2">
      <c r="A47" s="23">
        <v>2012</v>
      </c>
      <c r="B47" s="211" t="s">
        <v>7</v>
      </c>
      <c r="C47" s="212">
        <v>434500.11</v>
      </c>
      <c r="D47" s="212">
        <v>2233872.9900000002</v>
      </c>
      <c r="E47" s="212">
        <f t="shared" si="0"/>
        <v>2668373.1</v>
      </c>
      <c r="F47" s="213">
        <v>-1917.25</v>
      </c>
      <c r="G47" s="212">
        <v>-154279.07</v>
      </c>
      <c r="H47" s="214">
        <f t="shared" si="1"/>
        <v>-156196.32</v>
      </c>
      <c r="I47" s="215">
        <v>2824569.42</v>
      </c>
    </row>
    <row r="48" spans="1:11" x14ac:dyDescent="0.2">
      <c r="A48" s="23">
        <v>2012</v>
      </c>
      <c r="B48" s="211" t="s">
        <v>8</v>
      </c>
      <c r="C48" s="212">
        <v>462509.55</v>
      </c>
      <c r="D48" s="212">
        <v>2305161.65</v>
      </c>
      <c r="E48" s="212">
        <f t="shared" si="0"/>
        <v>2767671.1999999997</v>
      </c>
      <c r="F48" s="213">
        <v>-1768.79</v>
      </c>
      <c r="G48" s="212">
        <v>-145681.58000000002</v>
      </c>
      <c r="H48" s="214">
        <f t="shared" si="1"/>
        <v>-147450.37000000002</v>
      </c>
      <c r="I48" s="215">
        <v>2915121.57</v>
      </c>
    </row>
    <row r="49" spans="1:11" x14ac:dyDescent="0.2">
      <c r="A49" s="23">
        <v>2012</v>
      </c>
      <c r="B49" s="211" t="s">
        <v>9</v>
      </c>
      <c r="C49" s="212">
        <v>496349.49</v>
      </c>
      <c r="D49" s="212">
        <v>2398223.7799999998</v>
      </c>
      <c r="E49" s="212">
        <f t="shared" si="0"/>
        <v>2894573.2699999996</v>
      </c>
      <c r="F49" s="213">
        <v>-1891.52</v>
      </c>
      <c r="G49" s="212">
        <v>-154448.01</v>
      </c>
      <c r="H49" s="214">
        <f t="shared" si="1"/>
        <v>-156339.53</v>
      </c>
      <c r="I49" s="215">
        <v>3050912.7999999993</v>
      </c>
    </row>
    <row r="50" spans="1:11" x14ac:dyDescent="0.2">
      <c r="A50" s="23">
        <v>2012</v>
      </c>
      <c r="B50" s="211" t="s">
        <v>10</v>
      </c>
      <c r="C50" s="212">
        <v>462278.29</v>
      </c>
      <c r="D50" s="212">
        <v>2400695.5299999998</v>
      </c>
      <c r="E50" s="212">
        <f t="shared" si="0"/>
        <v>2862973.82</v>
      </c>
      <c r="F50" s="213">
        <v>-1885.67</v>
      </c>
      <c r="G50" s="212">
        <v>-160902.95000000001</v>
      </c>
      <c r="H50" s="214">
        <f t="shared" si="1"/>
        <v>-162788.62000000002</v>
      </c>
      <c r="I50" s="215">
        <v>3025762.44</v>
      </c>
    </row>
    <row r="51" spans="1:11" x14ac:dyDescent="0.2">
      <c r="A51" s="23">
        <v>2012</v>
      </c>
      <c r="B51" s="211" t="s">
        <v>11</v>
      </c>
      <c r="C51" s="212">
        <v>498771.45</v>
      </c>
      <c r="D51" s="212">
        <v>2565174.06</v>
      </c>
      <c r="E51" s="212">
        <f t="shared" si="0"/>
        <v>3063945.5100000002</v>
      </c>
      <c r="F51" s="213">
        <v>-1784.97</v>
      </c>
      <c r="G51" s="212">
        <v>-154674.71</v>
      </c>
      <c r="H51" s="214">
        <f t="shared" si="1"/>
        <v>-156459.68</v>
      </c>
      <c r="I51" s="215">
        <v>3220405.1900000004</v>
      </c>
    </row>
    <row r="52" spans="1:11" x14ac:dyDescent="0.2">
      <c r="A52" s="23">
        <v>2012</v>
      </c>
      <c r="B52" s="211" t="s">
        <v>12</v>
      </c>
      <c r="C52" s="212">
        <v>487275.42</v>
      </c>
      <c r="D52" s="212">
        <v>2313925.14</v>
      </c>
      <c r="E52" s="212">
        <f t="shared" si="0"/>
        <v>2801200.56</v>
      </c>
      <c r="F52" s="213">
        <v>-1929.92</v>
      </c>
      <c r="G52" s="212">
        <v>-161040.03</v>
      </c>
      <c r="H52" s="214">
        <f t="shared" si="1"/>
        <v>-162969.95000000001</v>
      </c>
      <c r="I52" s="215">
        <v>2964170.5100000002</v>
      </c>
    </row>
    <row r="53" spans="1:11" s="3" customFormat="1" x14ac:dyDescent="0.2">
      <c r="A53" s="23">
        <v>2012</v>
      </c>
      <c r="B53" s="211" t="s">
        <v>13</v>
      </c>
      <c r="C53" s="212">
        <v>482427.38</v>
      </c>
      <c r="D53" s="212">
        <v>2397884.4500000002</v>
      </c>
      <c r="E53" s="212">
        <f t="shared" si="0"/>
        <v>2880311.83</v>
      </c>
      <c r="F53" s="213">
        <v>-1891.69</v>
      </c>
      <c r="G53" s="212">
        <v>-154301.01</v>
      </c>
      <c r="H53" s="214">
        <f t="shared" si="1"/>
        <v>-156192.70000000001</v>
      </c>
      <c r="I53" s="215">
        <v>3036504.5300000003</v>
      </c>
      <c r="J53" s="5"/>
      <c r="K53" s="5"/>
    </row>
    <row r="54" spans="1:11" x14ac:dyDescent="0.2">
      <c r="A54" s="23">
        <v>2013</v>
      </c>
      <c r="B54" s="211" t="s">
        <v>2</v>
      </c>
      <c r="C54" s="212">
        <v>494856.18</v>
      </c>
      <c r="D54" s="212">
        <v>2520452</v>
      </c>
      <c r="E54" s="212">
        <f t="shared" si="0"/>
        <v>3015308.18</v>
      </c>
      <c r="F54" s="213">
        <v>-2240.84</v>
      </c>
      <c r="G54" s="212">
        <v>-170476.5</v>
      </c>
      <c r="H54" s="214">
        <f t="shared" si="1"/>
        <v>-172717.34</v>
      </c>
      <c r="I54" s="215">
        <v>3188025.52</v>
      </c>
    </row>
    <row r="55" spans="1:11" x14ac:dyDescent="0.2">
      <c r="A55" s="23">
        <v>2013</v>
      </c>
      <c r="B55" s="211" t="s">
        <v>3</v>
      </c>
      <c r="C55" s="212">
        <v>420775.41</v>
      </c>
      <c r="D55" s="212">
        <v>2377053.04</v>
      </c>
      <c r="E55" s="212">
        <f t="shared" si="0"/>
        <v>2797828.45</v>
      </c>
      <c r="F55" s="213">
        <v>-2256.85</v>
      </c>
      <c r="G55" s="212">
        <v>-163263.9</v>
      </c>
      <c r="H55" s="214">
        <f t="shared" si="1"/>
        <v>-165520.75</v>
      </c>
      <c r="I55" s="215">
        <v>2963349.2</v>
      </c>
    </row>
    <row r="56" spans="1:11" x14ac:dyDescent="0.2">
      <c r="A56" s="23">
        <v>2013</v>
      </c>
      <c r="B56" s="211" t="s">
        <v>4</v>
      </c>
      <c r="C56" s="212">
        <v>452905.64</v>
      </c>
      <c r="D56" s="212">
        <v>2621255.63</v>
      </c>
      <c r="E56" s="212">
        <f t="shared" si="0"/>
        <v>3074161.27</v>
      </c>
      <c r="F56" s="213">
        <v>-2135.6999999999998</v>
      </c>
      <c r="G56" s="212">
        <v>-153656.32000000001</v>
      </c>
      <c r="H56" s="214">
        <f t="shared" si="1"/>
        <v>-155792.02000000002</v>
      </c>
      <c r="I56" s="215">
        <v>3229953.29</v>
      </c>
    </row>
    <row r="57" spans="1:11" x14ac:dyDescent="0.2">
      <c r="A57" s="23">
        <v>2013</v>
      </c>
      <c r="B57" s="211" t="s">
        <v>5</v>
      </c>
      <c r="C57" s="212">
        <v>429473.1</v>
      </c>
      <c r="D57" s="212">
        <v>2607855.89</v>
      </c>
      <c r="E57" s="212">
        <f t="shared" si="0"/>
        <v>3037328.99</v>
      </c>
      <c r="F57" s="213">
        <v>-2294.27</v>
      </c>
      <c r="G57" s="212">
        <v>-169970.69</v>
      </c>
      <c r="H57" s="214">
        <f t="shared" si="1"/>
        <v>-172264.95999999999</v>
      </c>
      <c r="I57" s="215">
        <v>3209593.95</v>
      </c>
    </row>
    <row r="58" spans="1:11" x14ac:dyDescent="0.2">
      <c r="A58" s="23">
        <v>2013</v>
      </c>
      <c r="B58" s="211" t="s">
        <v>6</v>
      </c>
      <c r="C58" s="212">
        <v>423967.97</v>
      </c>
      <c r="D58" s="212">
        <v>2502677.36</v>
      </c>
      <c r="E58" s="212">
        <f t="shared" si="0"/>
        <v>2926645.33</v>
      </c>
      <c r="F58" s="213">
        <v>-1767.59</v>
      </c>
      <c r="G58" s="212">
        <v>-140253.22</v>
      </c>
      <c r="H58" s="214">
        <f t="shared" si="1"/>
        <v>-142020.81</v>
      </c>
      <c r="I58" s="215">
        <v>3068666.14</v>
      </c>
    </row>
    <row r="59" spans="1:11" x14ac:dyDescent="0.2">
      <c r="A59" s="23">
        <v>2013</v>
      </c>
      <c r="B59" s="211" t="s">
        <v>7</v>
      </c>
      <c r="C59" s="212">
        <v>415356.25</v>
      </c>
      <c r="D59" s="212">
        <v>2440078.5699999998</v>
      </c>
      <c r="E59" s="212">
        <f t="shared" si="0"/>
        <v>2855434.82</v>
      </c>
      <c r="F59" s="213">
        <v>-1739.46</v>
      </c>
      <c r="G59" s="212">
        <v>-143161.82</v>
      </c>
      <c r="H59" s="214">
        <f t="shared" si="1"/>
        <v>-144901.28</v>
      </c>
      <c r="I59" s="215">
        <v>3000336.0999999996</v>
      </c>
    </row>
    <row r="60" spans="1:11" x14ac:dyDescent="0.2">
      <c r="A60" s="23">
        <v>2013</v>
      </c>
      <c r="B60" s="211" t="s">
        <v>8</v>
      </c>
      <c r="C60" s="212">
        <v>464554.44</v>
      </c>
      <c r="D60" s="212">
        <v>2593233.12</v>
      </c>
      <c r="E60" s="212">
        <f t="shared" si="0"/>
        <v>3057787.56</v>
      </c>
      <c r="F60" s="213">
        <v>-1987.97</v>
      </c>
      <c r="G60" s="212">
        <v>-153549.10999999999</v>
      </c>
      <c r="H60" s="214">
        <f t="shared" si="1"/>
        <v>-155537.07999999999</v>
      </c>
      <c r="I60" s="215">
        <v>3213324.64</v>
      </c>
    </row>
    <row r="61" spans="1:11" x14ac:dyDescent="0.2">
      <c r="A61" s="23">
        <v>2013</v>
      </c>
      <c r="B61" s="211" t="s">
        <v>9</v>
      </c>
      <c r="C61" s="212">
        <v>478528.59</v>
      </c>
      <c r="D61" s="212">
        <v>2803264.24</v>
      </c>
      <c r="E61" s="212">
        <f t="shared" si="0"/>
        <v>3281792.83</v>
      </c>
      <c r="F61" s="213">
        <v>-1993.79</v>
      </c>
      <c r="G61" s="212">
        <v>-153013.54999999999</v>
      </c>
      <c r="H61" s="214">
        <f t="shared" si="1"/>
        <v>-155007.34</v>
      </c>
      <c r="I61" s="215">
        <v>3436800.17</v>
      </c>
    </row>
    <row r="62" spans="1:11" x14ac:dyDescent="0.2">
      <c r="A62" s="23">
        <v>2013</v>
      </c>
      <c r="B62" s="211" t="s">
        <v>10</v>
      </c>
      <c r="C62" s="212">
        <v>473603.56</v>
      </c>
      <c r="D62" s="212">
        <v>2766210.74</v>
      </c>
      <c r="E62" s="212">
        <f t="shared" si="0"/>
        <v>3239814.3000000003</v>
      </c>
      <c r="F62" s="213">
        <v>-1908.52</v>
      </c>
      <c r="G62" s="212">
        <v>-144395.77000000002</v>
      </c>
      <c r="H62" s="214">
        <f t="shared" si="1"/>
        <v>-146304.29</v>
      </c>
      <c r="I62" s="215">
        <v>3386118.5900000003</v>
      </c>
    </row>
    <row r="63" spans="1:11" x14ac:dyDescent="0.2">
      <c r="A63" s="23">
        <v>2013</v>
      </c>
      <c r="B63" s="211" t="s">
        <v>11</v>
      </c>
      <c r="C63" s="212">
        <v>517258.72</v>
      </c>
      <c r="D63" s="212">
        <v>2739632.78</v>
      </c>
      <c r="E63" s="212">
        <f t="shared" si="0"/>
        <v>3256891.5</v>
      </c>
      <c r="F63" s="213">
        <v>-2094.39</v>
      </c>
      <c r="G63" s="212">
        <v>-156583.53</v>
      </c>
      <c r="H63" s="214">
        <f t="shared" si="1"/>
        <v>-158677.92000000001</v>
      </c>
      <c r="I63" s="215">
        <v>3415569.42</v>
      </c>
    </row>
    <row r="64" spans="1:11" x14ac:dyDescent="0.2">
      <c r="A64" s="23">
        <v>2013</v>
      </c>
      <c r="B64" s="211" t="s">
        <v>12</v>
      </c>
      <c r="C64" s="212">
        <v>512654.56</v>
      </c>
      <c r="D64" s="212">
        <v>2538857.75</v>
      </c>
      <c r="E64" s="212">
        <f t="shared" si="0"/>
        <v>3051512.31</v>
      </c>
      <c r="F64" s="221">
        <v>-2092.67</v>
      </c>
      <c r="G64" s="212">
        <v>-156527.88999999998</v>
      </c>
      <c r="H64" s="214">
        <f t="shared" si="1"/>
        <v>-158620.56</v>
      </c>
      <c r="I64" s="215">
        <v>3210132.87</v>
      </c>
    </row>
    <row r="65" spans="1:11" s="3" customFormat="1" x14ac:dyDescent="0.2">
      <c r="A65" s="223">
        <v>2013</v>
      </c>
      <c r="B65" s="12" t="s">
        <v>13</v>
      </c>
      <c r="C65" s="224">
        <v>532538.41</v>
      </c>
      <c r="D65" s="224">
        <v>2531208.63</v>
      </c>
      <c r="E65" s="224">
        <f t="shared" si="0"/>
        <v>3063747.04</v>
      </c>
      <c r="F65" s="225">
        <v>-1885.03</v>
      </c>
      <c r="G65" s="224">
        <v>-150614.44999999998</v>
      </c>
      <c r="H65" s="220">
        <f t="shared" si="1"/>
        <v>-152499.47999999998</v>
      </c>
      <c r="I65" s="215">
        <v>3216246.52</v>
      </c>
      <c r="J65" s="5"/>
      <c r="K65" s="5"/>
    </row>
    <row r="66" spans="1:11" x14ac:dyDescent="0.2">
      <c r="A66" s="23">
        <v>2014</v>
      </c>
      <c r="B66" s="211" t="s">
        <v>2</v>
      </c>
      <c r="C66" s="212">
        <v>511696.47</v>
      </c>
      <c r="D66" s="212">
        <v>2605636.6</v>
      </c>
      <c r="E66" s="212">
        <f t="shared" si="0"/>
        <v>3117333.0700000003</v>
      </c>
      <c r="F66" s="222">
        <v>-1976.25</v>
      </c>
      <c r="G66" s="212">
        <v>-147075.66</v>
      </c>
      <c r="H66" s="214">
        <f t="shared" si="1"/>
        <v>-149051.91</v>
      </c>
      <c r="I66" s="215">
        <v>3266384.9800000004</v>
      </c>
    </row>
    <row r="67" spans="1:11" x14ac:dyDescent="0.2">
      <c r="A67" s="23">
        <v>2014</v>
      </c>
      <c r="B67" s="211" t="s">
        <v>3</v>
      </c>
      <c r="C67" s="212">
        <v>485862.9</v>
      </c>
      <c r="D67" s="212">
        <v>2474924.63</v>
      </c>
      <c r="E67" s="212">
        <f t="shared" si="0"/>
        <v>2960787.53</v>
      </c>
      <c r="F67" s="213">
        <v>-1982.83</v>
      </c>
      <c r="G67" s="212">
        <v>-149013.31</v>
      </c>
      <c r="H67" s="214">
        <f t="shared" si="1"/>
        <v>-150996.13999999998</v>
      </c>
      <c r="I67" s="215">
        <v>3111783.67</v>
      </c>
    </row>
    <row r="68" spans="1:11" x14ac:dyDescent="0.2">
      <c r="A68" s="23">
        <v>2014</v>
      </c>
      <c r="B68" s="211" t="s">
        <v>4</v>
      </c>
      <c r="C68" s="212">
        <v>533189.81000000006</v>
      </c>
      <c r="D68" s="212">
        <v>2720162.95</v>
      </c>
      <c r="E68" s="212">
        <f t="shared" si="0"/>
        <v>3253352.7600000002</v>
      </c>
      <c r="F68" s="213">
        <v>-1697.02</v>
      </c>
      <c r="G68" s="212">
        <v>-127290.8</v>
      </c>
      <c r="H68" s="214">
        <f t="shared" si="1"/>
        <v>-128987.82</v>
      </c>
      <c r="I68" s="215">
        <v>3382340.58</v>
      </c>
    </row>
    <row r="69" spans="1:11" x14ac:dyDescent="0.2">
      <c r="A69" s="23">
        <v>2014</v>
      </c>
      <c r="B69" s="211" t="s">
        <v>5</v>
      </c>
      <c r="C69" s="212">
        <v>522486.92</v>
      </c>
      <c r="D69" s="212">
        <v>2612531.16</v>
      </c>
      <c r="E69" s="212">
        <f t="shared" si="0"/>
        <v>3135018.08</v>
      </c>
      <c r="F69" s="213">
        <v>-1894.72</v>
      </c>
      <c r="G69" s="212">
        <v>-142850.88999999998</v>
      </c>
      <c r="H69" s="214">
        <f t="shared" si="1"/>
        <v>-144745.60999999999</v>
      </c>
      <c r="I69" s="215">
        <v>3279763.69</v>
      </c>
    </row>
    <row r="70" spans="1:11" x14ac:dyDescent="0.2">
      <c r="A70" s="23">
        <v>2014</v>
      </c>
      <c r="B70" s="211" t="s">
        <v>6</v>
      </c>
      <c r="C70" s="212">
        <v>535599.56000000006</v>
      </c>
      <c r="D70" s="212">
        <v>2583829.54</v>
      </c>
      <c r="E70" s="212">
        <f t="shared" ref="E70:E77" si="2">SUM(C70:D70)</f>
        <v>3119429.1</v>
      </c>
      <c r="F70" s="213">
        <v>-1623.51</v>
      </c>
      <c r="G70" s="212">
        <v>-121324.12000000001</v>
      </c>
      <c r="H70" s="214">
        <f t="shared" ref="H70:H77" si="3">+F70+G70</f>
        <v>-122947.63</v>
      </c>
      <c r="I70" s="215">
        <v>3242376.73</v>
      </c>
    </row>
    <row r="71" spans="1:11" x14ac:dyDescent="0.2">
      <c r="A71" s="23">
        <v>2014</v>
      </c>
      <c r="B71" s="211" t="s">
        <v>7</v>
      </c>
      <c r="C71" s="212">
        <v>529200.48</v>
      </c>
      <c r="D71" s="212">
        <v>2510632.66</v>
      </c>
      <c r="E71" s="212">
        <f t="shared" si="2"/>
        <v>3039833.14</v>
      </c>
      <c r="F71" s="213">
        <v>-1393.65</v>
      </c>
      <c r="G71" s="212">
        <v>-104164.47</v>
      </c>
      <c r="H71" s="214">
        <f t="shared" si="3"/>
        <v>-105558.12</v>
      </c>
      <c r="I71" s="215">
        <v>3145391.2600000002</v>
      </c>
    </row>
    <row r="72" spans="1:11" x14ac:dyDescent="0.2">
      <c r="A72" s="23">
        <v>2014</v>
      </c>
      <c r="B72" s="211" t="s">
        <v>8</v>
      </c>
      <c r="C72" s="212">
        <v>551094.46</v>
      </c>
      <c r="D72" s="212">
        <v>2489467.73</v>
      </c>
      <c r="E72" s="212">
        <f t="shared" si="2"/>
        <v>3040562.19</v>
      </c>
      <c r="F72" s="213">
        <v>-1421.86</v>
      </c>
      <c r="G72" s="212">
        <v>-98823.180000000008</v>
      </c>
      <c r="H72" s="214">
        <f t="shared" si="3"/>
        <v>-100245.04000000001</v>
      </c>
      <c r="I72" s="215">
        <v>3140807.23</v>
      </c>
    </row>
    <row r="73" spans="1:11" x14ac:dyDescent="0.2">
      <c r="A73" s="23">
        <v>2014</v>
      </c>
      <c r="B73" s="211" t="s">
        <v>9</v>
      </c>
      <c r="C73" s="212">
        <v>567686.07999999996</v>
      </c>
      <c r="D73" s="212">
        <v>2644743.64</v>
      </c>
      <c r="E73" s="212">
        <f t="shared" si="2"/>
        <v>3212429.72</v>
      </c>
      <c r="F73" s="213">
        <v>-977.40000000000009</v>
      </c>
      <c r="G73" s="212">
        <v>-70343.19</v>
      </c>
      <c r="H73" s="214">
        <f t="shared" si="3"/>
        <v>-71320.59</v>
      </c>
      <c r="I73" s="215">
        <v>3283750.31</v>
      </c>
    </row>
    <row r="74" spans="1:11" x14ac:dyDescent="0.2">
      <c r="A74" s="23">
        <v>2014</v>
      </c>
      <c r="B74" s="211" t="s">
        <v>10</v>
      </c>
      <c r="C74" s="212">
        <v>553049.80000000005</v>
      </c>
      <c r="D74" s="212">
        <v>2589557.61</v>
      </c>
      <c r="E74" s="212">
        <f t="shared" si="2"/>
        <v>3142607.41</v>
      </c>
      <c r="F74" s="213">
        <v>0</v>
      </c>
      <c r="G74" s="212">
        <v>-20238.16</v>
      </c>
      <c r="H74" s="214">
        <f t="shared" si="3"/>
        <v>-20238.16</v>
      </c>
      <c r="I74" s="215">
        <v>3162845.5700000003</v>
      </c>
    </row>
    <row r="75" spans="1:11" x14ac:dyDescent="0.2">
      <c r="A75" s="23">
        <v>2014</v>
      </c>
      <c r="B75" s="211" t="s">
        <v>11</v>
      </c>
      <c r="C75" s="212">
        <v>578705.93000000005</v>
      </c>
      <c r="D75" s="212">
        <v>2695795.78</v>
      </c>
      <c r="E75" s="212">
        <f t="shared" si="2"/>
        <v>3274501.71</v>
      </c>
      <c r="F75" s="213">
        <v>0</v>
      </c>
      <c r="G75" s="212">
        <v>-19820.22</v>
      </c>
      <c r="H75" s="214">
        <f t="shared" si="3"/>
        <v>-19820.22</v>
      </c>
      <c r="I75" s="215">
        <v>3294321.93</v>
      </c>
    </row>
    <row r="76" spans="1:11" x14ac:dyDescent="0.2">
      <c r="A76" s="23">
        <v>2014</v>
      </c>
      <c r="B76" s="211" t="s">
        <v>12</v>
      </c>
      <c r="C76" s="212">
        <v>572459.80000000005</v>
      </c>
      <c r="D76" s="212">
        <v>2511285.67</v>
      </c>
      <c r="E76" s="212">
        <f t="shared" si="2"/>
        <v>3083745.4699999997</v>
      </c>
      <c r="F76" s="213">
        <v>0</v>
      </c>
      <c r="G76" s="212">
        <v>-19042.63</v>
      </c>
      <c r="H76" s="214">
        <f t="shared" si="3"/>
        <v>-19042.63</v>
      </c>
      <c r="I76" s="215">
        <v>3102788.0999999996</v>
      </c>
    </row>
    <row r="77" spans="1:11" s="3" customFormat="1" x14ac:dyDescent="0.2">
      <c r="A77" s="23">
        <v>2014</v>
      </c>
      <c r="B77" s="211" t="s">
        <v>13</v>
      </c>
      <c r="C77" s="212">
        <v>577222.17000000004</v>
      </c>
      <c r="D77" s="212">
        <v>2547602.61</v>
      </c>
      <c r="E77" s="212">
        <f t="shared" si="2"/>
        <v>3124824.78</v>
      </c>
      <c r="F77" s="213">
        <v>0</v>
      </c>
      <c r="G77" s="212">
        <v>-18756.599999999999</v>
      </c>
      <c r="H77" s="214">
        <f t="shared" si="3"/>
        <v>-18756.599999999999</v>
      </c>
      <c r="I77" s="215">
        <v>3143581.38</v>
      </c>
      <c r="J77" s="5"/>
      <c r="K77" s="5"/>
    </row>
    <row r="78" spans="1:11" s="3" customFormat="1" x14ac:dyDescent="0.2">
      <c r="A78" s="223"/>
      <c r="B78" s="12"/>
      <c r="C78" s="224"/>
      <c r="D78" s="224"/>
      <c r="E78" s="224"/>
      <c r="F78" s="225"/>
      <c r="G78" s="224"/>
      <c r="H78" s="279"/>
      <c r="I78" s="215"/>
      <c r="J78" s="5"/>
      <c r="K78" s="5"/>
    </row>
    <row r="79" spans="1:11" ht="21.75" customHeight="1" x14ac:dyDescent="0.3">
      <c r="A79" s="216" t="s">
        <v>44</v>
      </c>
      <c r="B79" s="216"/>
    </row>
    <row r="80" spans="1:11" x14ac:dyDescent="0.3">
      <c r="A80" s="2" t="s">
        <v>38</v>
      </c>
      <c r="B80" s="9"/>
      <c r="C80" s="217"/>
      <c r="D80" s="217"/>
      <c r="E80" s="217"/>
    </row>
    <row r="81" spans="1:11" x14ac:dyDescent="0.3">
      <c r="A81" s="218" t="s">
        <v>125</v>
      </c>
      <c r="B81" s="218"/>
      <c r="C81" s="218"/>
      <c r="D81" s="218"/>
      <c r="E81" s="218"/>
      <c r="F81" s="218"/>
      <c r="G81" s="219"/>
      <c r="H81" s="218"/>
      <c r="I81" s="218"/>
      <c r="J81" s="218"/>
      <c r="K81" s="218"/>
    </row>
  </sheetData>
  <sheetProtection algorithmName="SHA-512" hashValue="KfW2ZM7KDAPIBiKSPf8KsqCr3YiEgjPFEShWpzt7yTEE338TICzC3rwWCkQwvQCU3EbOIn5Aas17EBAUPxnUpA==" saltValue="OY8D2SWxT3WpSr6+hikIDw==" spinCount="100000" sheet="1" objects="1" scenarios="1" selectLockedCells="1" selectUnlockedCells="1"/>
  <mergeCells count="6">
    <mergeCell ref="I4:I5"/>
    <mergeCell ref="A2:H2"/>
    <mergeCell ref="A3:A5"/>
    <mergeCell ref="B3:B5"/>
    <mergeCell ref="C3:E3"/>
    <mergeCell ref="F3:H3"/>
  </mergeCells>
  <printOptions gridLines="1"/>
  <pageMargins left="0.25" right="0.25" top="0.75" bottom="0.75" header="0.3" footer="0.3"/>
  <pageSetup scale="78" fitToHeight="2" pageOrder="overThenDown" orientation="portrait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A9" sqref="A9"/>
    </sheetView>
  </sheetViews>
  <sheetFormatPr defaultRowHeight="14.4" x14ac:dyDescent="0.3"/>
  <cols>
    <col min="1" max="1" width="17.88671875" customWidth="1"/>
    <col min="2" max="2" width="10.6640625" customWidth="1"/>
    <col min="3" max="4" width="9.6640625" customWidth="1"/>
    <col min="5" max="6" width="9.5546875" customWidth="1"/>
    <col min="7" max="7" width="10.109375" customWidth="1"/>
    <col min="8" max="8" width="1" customWidth="1"/>
    <col min="9" max="9" width="10.44140625" customWidth="1"/>
    <col min="10" max="10" width="10" customWidth="1"/>
    <col min="11" max="11" width="10.5546875" customWidth="1"/>
    <col min="12" max="12" width="9.6640625" customWidth="1"/>
    <col min="13" max="14" width="9.88671875" bestFit="1" customWidth="1"/>
  </cols>
  <sheetData>
    <row r="1" spans="1:14" x14ac:dyDescent="0.3">
      <c r="A1" s="1" t="s">
        <v>252</v>
      </c>
    </row>
    <row r="2" spans="1:14" x14ac:dyDescent="0.3">
      <c r="A2" s="460" t="s">
        <v>254</v>
      </c>
      <c r="B2" s="461"/>
      <c r="C2" s="461"/>
      <c r="D2" s="226"/>
      <c r="E2" s="226"/>
      <c r="F2" s="226"/>
      <c r="G2" s="226"/>
    </row>
    <row r="3" spans="1:14" ht="17.399999999999999" x14ac:dyDescent="0.3">
      <c r="A3" s="233"/>
      <c r="B3" s="454" t="s">
        <v>143</v>
      </c>
      <c r="C3" s="455"/>
      <c r="D3" s="455"/>
      <c r="E3" s="455"/>
      <c r="F3" s="455"/>
      <c r="G3" s="456"/>
      <c r="I3" s="457" t="s">
        <v>144</v>
      </c>
      <c r="J3" s="458"/>
      <c r="K3" s="458"/>
      <c r="L3" s="458"/>
      <c r="M3" s="458"/>
      <c r="N3" s="459"/>
    </row>
    <row r="4" spans="1:14" ht="15" customHeight="1" x14ac:dyDescent="0.3">
      <c r="A4" s="396" t="s">
        <v>126</v>
      </c>
      <c r="B4" s="452" t="s">
        <v>127</v>
      </c>
      <c r="C4" s="453"/>
      <c r="D4" s="453"/>
      <c r="E4" s="453"/>
      <c r="F4" s="453"/>
      <c r="G4" s="453"/>
      <c r="I4" s="452" t="s">
        <v>127</v>
      </c>
      <c r="J4" s="453"/>
      <c r="K4" s="453"/>
      <c r="L4" s="453"/>
      <c r="M4" s="453"/>
      <c r="N4" s="453"/>
    </row>
    <row r="5" spans="1:14" ht="15" customHeight="1" x14ac:dyDescent="0.3">
      <c r="A5" s="397"/>
      <c r="B5" s="234">
        <v>2009</v>
      </c>
      <c r="C5" s="238">
        <v>2010</v>
      </c>
      <c r="D5" s="240">
        <v>2011</v>
      </c>
      <c r="E5" s="241">
        <v>2012</v>
      </c>
      <c r="F5" s="241">
        <v>2013</v>
      </c>
      <c r="G5" s="242">
        <v>2014</v>
      </c>
      <c r="I5" s="234">
        <v>2009</v>
      </c>
      <c r="J5" s="238">
        <v>2010</v>
      </c>
      <c r="K5" s="244">
        <v>2011</v>
      </c>
      <c r="L5" s="245">
        <v>2012</v>
      </c>
      <c r="M5" s="245">
        <v>2013</v>
      </c>
      <c r="N5" s="246">
        <v>2014</v>
      </c>
    </row>
    <row r="6" spans="1:14" x14ac:dyDescent="0.3">
      <c r="A6" s="398"/>
      <c r="B6" s="234" t="s">
        <v>128</v>
      </c>
      <c r="C6" s="234" t="s">
        <v>128</v>
      </c>
      <c r="D6" s="239" t="s">
        <v>128</v>
      </c>
      <c r="E6" s="239" t="s">
        <v>128</v>
      </c>
      <c r="F6" s="239" t="s">
        <v>128</v>
      </c>
      <c r="G6" s="239" t="s">
        <v>128</v>
      </c>
      <c r="I6" s="227" t="s">
        <v>128</v>
      </c>
      <c r="J6" s="227" t="s">
        <v>128</v>
      </c>
      <c r="K6" s="243" t="s">
        <v>128</v>
      </c>
      <c r="L6" s="243" t="s">
        <v>128</v>
      </c>
      <c r="M6" s="243" t="s">
        <v>128</v>
      </c>
      <c r="N6" s="243" t="s">
        <v>128</v>
      </c>
    </row>
    <row r="7" spans="1:14" ht="20.399999999999999" x14ac:dyDescent="0.3">
      <c r="A7" s="228" t="s">
        <v>142</v>
      </c>
      <c r="B7" s="229" t="s">
        <v>129</v>
      </c>
      <c r="C7" s="229" t="s">
        <v>129</v>
      </c>
      <c r="D7" s="232"/>
      <c r="E7" s="232"/>
      <c r="F7" s="232"/>
      <c r="G7" s="226"/>
    </row>
    <row r="8" spans="1:14" x14ac:dyDescent="0.3">
      <c r="A8" s="230" t="s">
        <v>130</v>
      </c>
      <c r="B8" s="231">
        <v>26974835</v>
      </c>
      <c r="C8" s="231">
        <v>26552056</v>
      </c>
      <c r="D8" s="231">
        <v>26929736</v>
      </c>
      <c r="E8" s="231">
        <v>26700253</v>
      </c>
      <c r="F8" s="231">
        <v>25730214</v>
      </c>
      <c r="G8" s="231">
        <v>26203997</v>
      </c>
      <c r="I8" s="231">
        <v>37210893</v>
      </c>
      <c r="J8" s="231">
        <v>36792612</v>
      </c>
      <c r="K8" s="231">
        <v>36159528</v>
      </c>
      <c r="L8" s="231">
        <v>34955707</v>
      </c>
      <c r="M8" s="231">
        <v>35537437</v>
      </c>
      <c r="N8" s="231">
        <v>32883185</v>
      </c>
    </row>
    <row r="9" spans="1:14" x14ac:dyDescent="0.3">
      <c r="A9" s="230" t="s">
        <v>131</v>
      </c>
      <c r="B9" s="231">
        <v>24522876</v>
      </c>
      <c r="C9" s="231">
        <v>24396601</v>
      </c>
      <c r="D9" s="231">
        <v>24367715</v>
      </c>
      <c r="E9" s="231">
        <v>24434362</v>
      </c>
      <c r="F9" s="231">
        <v>22910328</v>
      </c>
      <c r="G9" s="231">
        <v>23589744</v>
      </c>
      <c r="I9" s="231">
        <v>34968749</v>
      </c>
      <c r="J9" s="231">
        <v>33587977</v>
      </c>
      <c r="K9" s="231">
        <v>33052786</v>
      </c>
      <c r="L9" s="231">
        <v>32487363</v>
      </c>
      <c r="M9" s="231">
        <v>32183565</v>
      </c>
      <c r="N9" s="231">
        <v>29727211</v>
      </c>
    </row>
    <row r="10" spans="1:14" x14ac:dyDescent="0.3">
      <c r="A10" s="230" t="s">
        <v>132</v>
      </c>
      <c r="B10" s="231">
        <v>26654353</v>
      </c>
      <c r="C10" s="231">
        <v>26923717</v>
      </c>
      <c r="D10" s="231">
        <v>27615087</v>
      </c>
      <c r="E10" s="231">
        <v>26977205</v>
      </c>
      <c r="F10" s="231">
        <v>25122593</v>
      </c>
      <c r="G10" s="231">
        <v>25329650</v>
      </c>
      <c r="I10" s="231">
        <v>38338960</v>
      </c>
      <c r="J10" s="231">
        <v>37684472</v>
      </c>
      <c r="K10" s="231">
        <v>36722546</v>
      </c>
      <c r="L10" s="231">
        <v>35317604</v>
      </c>
      <c r="M10" s="231">
        <v>34044878</v>
      </c>
      <c r="N10" s="231">
        <v>32539575</v>
      </c>
    </row>
    <row r="11" spans="1:14" x14ac:dyDescent="0.3">
      <c r="A11" s="230" t="s">
        <v>133</v>
      </c>
      <c r="B11" s="231">
        <v>25403562</v>
      </c>
      <c r="C11" s="231">
        <v>26161456</v>
      </c>
      <c r="D11" s="231">
        <v>25646036</v>
      </c>
      <c r="E11" s="231">
        <v>24762544</v>
      </c>
      <c r="F11" s="231">
        <v>25393222</v>
      </c>
      <c r="G11" s="231">
        <v>24579919</v>
      </c>
      <c r="I11" s="231">
        <v>35894282</v>
      </c>
      <c r="J11" s="231">
        <v>36745765</v>
      </c>
      <c r="K11" s="231">
        <v>34068798</v>
      </c>
      <c r="L11" s="231">
        <v>33282419</v>
      </c>
      <c r="M11" s="231">
        <v>33366128</v>
      </c>
      <c r="N11" s="231">
        <v>32750987</v>
      </c>
    </row>
    <row r="12" spans="1:14" x14ac:dyDescent="0.3">
      <c r="A12" s="230" t="s">
        <v>134</v>
      </c>
      <c r="B12" s="231">
        <v>26237550</v>
      </c>
      <c r="C12" s="231">
        <v>25949626</v>
      </c>
      <c r="D12" s="231">
        <v>26420371</v>
      </c>
      <c r="E12" s="231">
        <v>25454520</v>
      </c>
      <c r="F12" s="231">
        <v>26280093</v>
      </c>
      <c r="G12" s="231">
        <v>25478135</v>
      </c>
      <c r="I12" s="231">
        <v>36033456</v>
      </c>
      <c r="J12" s="231">
        <v>36765153</v>
      </c>
      <c r="K12" s="231">
        <v>35082995</v>
      </c>
      <c r="L12" s="231">
        <v>34036866</v>
      </c>
      <c r="M12" s="231">
        <v>33549760</v>
      </c>
      <c r="N12" s="231">
        <v>31771757</v>
      </c>
    </row>
    <row r="13" spans="1:14" x14ac:dyDescent="0.3">
      <c r="A13" s="230" t="s">
        <v>135</v>
      </c>
      <c r="B13" s="231">
        <v>25419762</v>
      </c>
      <c r="C13" s="231">
        <v>23912853</v>
      </c>
      <c r="D13" s="231">
        <v>24524929</v>
      </c>
      <c r="E13" s="231">
        <v>23941285</v>
      </c>
      <c r="F13" s="231">
        <v>23076145</v>
      </c>
      <c r="G13" s="231">
        <v>23066192</v>
      </c>
      <c r="I13" s="231">
        <v>35461184</v>
      </c>
      <c r="J13" s="231">
        <v>34756153</v>
      </c>
      <c r="K13" s="231">
        <v>32947841</v>
      </c>
      <c r="L13" s="231">
        <v>31739975</v>
      </c>
      <c r="M13" s="231">
        <v>29828334</v>
      </c>
      <c r="N13" s="231">
        <v>28549316</v>
      </c>
    </row>
    <row r="14" spans="1:14" x14ac:dyDescent="0.3">
      <c r="A14" s="230" t="s">
        <v>136</v>
      </c>
      <c r="B14" s="231">
        <v>25380214</v>
      </c>
      <c r="C14" s="231">
        <v>23042818</v>
      </c>
      <c r="D14" s="231">
        <v>24541761</v>
      </c>
      <c r="E14" s="231">
        <v>23979532</v>
      </c>
      <c r="F14" s="231">
        <v>24769308</v>
      </c>
      <c r="G14" s="231">
        <v>24084171</v>
      </c>
      <c r="I14" s="231">
        <v>34259252</v>
      </c>
      <c r="J14" s="231">
        <v>34732658</v>
      </c>
      <c r="K14" s="231">
        <v>32261286</v>
      </c>
      <c r="L14" s="231">
        <v>32052450</v>
      </c>
      <c r="M14" s="231">
        <v>31443697</v>
      </c>
      <c r="N14" s="231">
        <v>29508545</v>
      </c>
    </row>
    <row r="15" spans="1:14" x14ac:dyDescent="0.3">
      <c r="A15" s="230" t="s">
        <v>137</v>
      </c>
      <c r="B15" s="231">
        <v>26681075</v>
      </c>
      <c r="C15" s="231">
        <v>25499401</v>
      </c>
      <c r="D15" s="231">
        <v>26551152</v>
      </c>
      <c r="E15" s="231">
        <v>26206576</v>
      </c>
      <c r="F15" s="231">
        <v>26390141</v>
      </c>
      <c r="G15" s="231">
        <v>24990781</v>
      </c>
      <c r="I15" s="231">
        <v>35437626</v>
      </c>
      <c r="J15" s="231">
        <v>35009101</v>
      </c>
      <c r="K15" s="231">
        <v>34082236</v>
      </c>
      <c r="L15" s="231">
        <v>33891634</v>
      </c>
      <c r="M15" s="231">
        <v>33272671</v>
      </c>
      <c r="N15" s="231">
        <v>30959538</v>
      </c>
    </row>
    <row r="16" spans="1:14" x14ac:dyDescent="0.3">
      <c r="A16" s="230" t="s">
        <v>138</v>
      </c>
      <c r="B16" s="231">
        <v>26599661</v>
      </c>
      <c r="C16" s="231">
        <v>25937542</v>
      </c>
      <c r="D16" s="231">
        <v>26466277</v>
      </c>
      <c r="E16" s="231">
        <v>24953853</v>
      </c>
      <c r="F16" s="231">
        <v>25384035</v>
      </c>
      <c r="G16" s="231">
        <v>25306790</v>
      </c>
      <c r="I16" s="231">
        <v>37264491</v>
      </c>
      <c r="J16" s="231">
        <v>35524441</v>
      </c>
      <c r="K16" s="231">
        <v>34142257</v>
      </c>
      <c r="L16" s="231">
        <v>33169249</v>
      </c>
      <c r="M16" s="231">
        <v>32674511</v>
      </c>
      <c r="N16" s="231">
        <v>31110033</v>
      </c>
    </row>
    <row r="17" spans="1:14" x14ac:dyDescent="0.3">
      <c r="A17" s="230" t="s">
        <v>139</v>
      </c>
      <c r="B17" s="231">
        <v>28165417</v>
      </c>
      <c r="C17" s="231">
        <v>26847283</v>
      </c>
      <c r="D17" s="231">
        <v>27212240</v>
      </c>
      <c r="E17" s="231">
        <v>27208959</v>
      </c>
      <c r="F17" s="231">
        <v>27142463</v>
      </c>
      <c r="G17" s="231">
        <v>26496128</v>
      </c>
      <c r="I17" s="231">
        <v>38863667</v>
      </c>
      <c r="J17" s="231">
        <v>37308789</v>
      </c>
      <c r="K17" s="231">
        <v>35766183</v>
      </c>
      <c r="L17" s="231">
        <v>36259875</v>
      </c>
      <c r="M17" s="231">
        <v>35192430</v>
      </c>
      <c r="N17" s="231">
        <v>32959946</v>
      </c>
    </row>
    <row r="18" spans="1:14" x14ac:dyDescent="0.3">
      <c r="A18" s="230" t="s">
        <v>140</v>
      </c>
      <c r="B18" s="231">
        <v>25971852</v>
      </c>
      <c r="C18" s="231">
        <v>26296930</v>
      </c>
      <c r="D18" s="231">
        <v>25967231</v>
      </c>
      <c r="E18" s="231">
        <v>25462228</v>
      </c>
      <c r="F18" s="231">
        <v>25798811</v>
      </c>
      <c r="G18" s="231">
        <v>24469255</v>
      </c>
      <c r="I18" s="231">
        <v>35677776</v>
      </c>
      <c r="J18" s="231">
        <v>35990724</v>
      </c>
      <c r="K18" s="231">
        <v>34636181</v>
      </c>
      <c r="L18" s="231">
        <v>34069091</v>
      </c>
      <c r="M18" s="231">
        <v>32670092</v>
      </c>
      <c r="N18" s="231">
        <v>30309918</v>
      </c>
    </row>
    <row r="19" spans="1:14" x14ac:dyDescent="0.3">
      <c r="A19" s="230" t="s">
        <v>141</v>
      </c>
      <c r="B19" s="235">
        <v>27147098</v>
      </c>
      <c r="C19" s="235">
        <v>26637097</v>
      </c>
      <c r="D19" s="235">
        <v>26443133</v>
      </c>
      <c r="E19" s="235">
        <v>25436636</v>
      </c>
      <c r="F19" s="235">
        <v>25779296</v>
      </c>
      <c r="G19" s="235">
        <v>25823364</v>
      </c>
      <c r="I19" s="235">
        <v>37604677</v>
      </c>
      <c r="J19" s="235">
        <v>36098246</v>
      </c>
      <c r="K19" s="235">
        <v>34840313</v>
      </c>
      <c r="L19" s="235">
        <v>35041986</v>
      </c>
      <c r="M19" s="235">
        <v>32959855</v>
      </c>
      <c r="N19" s="235">
        <v>31987374</v>
      </c>
    </row>
    <row r="20" spans="1:14" x14ac:dyDescent="0.3">
      <c r="A20" s="230" t="s">
        <v>25</v>
      </c>
      <c r="B20" s="237">
        <f>SUM(B8:B19)</f>
        <v>315158255</v>
      </c>
      <c r="C20" s="237">
        <f t="shared" ref="C20:I20" si="0">SUM(C8:C19)</f>
        <v>308157380</v>
      </c>
      <c r="D20" s="237">
        <f t="shared" si="0"/>
        <v>312685668</v>
      </c>
      <c r="E20" s="237">
        <f t="shared" si="0"/>
        <v>305517953</v>
      </c>
      <c r="F20" s="237">
        <f t="shared" si="0"/>
        <v>303776649</v>
      </c>
      <c r="G20" s="237">
        <f t="shared" si="0"/>
        <v>299418126</v>
      </c>
      <c r="I20" s="237">
        <f t="shared" si="0"/>
        <v>437015013</v>
      </c>
      <c r="J20" s="237">
        <f t="shared" ref="J20" si="1">SUM(J8:J19)</f>
        <v>430996091</v>
      </c>
      <c r="K20" s="237">
        <f t="shared" ref="K20" si="2">SUM(K8:K19)</f>
        <v>413762950</v>
      </c>
      <c r="L20" s="237">
        <f t="shared" ref="L20" si="3">SUM(L8:L19)</f>
        <v>406304219</v>
      </c>
      <c r="M20" s="237">
        <f t="shared" ref="M20" si="4">SUM(M8:M19)</f>
        <v>396723358</v>
      </c>
      <c r="N20" s="237">
        <f t="shared" ref="N20" si="5">SUM(N8:N19)</f>
        <v>375057385</v>
      </c>
    </row>
    <row r="22" spans="1:14" x14ac:dyDescent="0.3">
      <c r="A22" s="236" t="s">
        <v>145</v>
      </c>
      <c r="B22" s="247">
        <f>B20/(B20+I20)</f>
        <v>0.41899688330854107</v>
      </c>
      <c r="C22" s="247">
        <f t="shared" ref="C22:G22" si="6">C20/(C20+J20)</f>
        <v>0.41690581467891125</v>
      </c>
      <c r="D22" s="247">
        <f t="shared" si="6"/>
        <v>0.43043053596944142</v>
      </c>
      <c r="E22" s="247">
        <f t="shared" si="6"/>
        <v>0.42920544627261203</v>
      </c>
      <c r="F22" s="247">
        <f t="shared" si="6"/>
        <v>0.43365688217616249</v>
      </c>
      <c r="G22" s="247">
        <f t="shared" si="6"/>
        <v>0.44392734964694663</v>
      </c>
    </row>
    <row r="23" spans="1:14" x14ac:dyDescent="0.3">
      <c r="A23" s="248" t="s">
        <v>146</v>
      </c>
      <c r="B23" s="249">
        <f>AVERAGE(B22,C22,D22,E22,F22,G22)</f>
        <v>0.42885381867543582</v>
      </c>
    </row>
    <row r="24" spans="1:14" ht="21.6" x14ac:dyDescent="0.3">
      <c r="A24" s="248" t="s">
        <v>157</v>
      </c>
      <c r="B24" s="249" t="s">
        <v>159</v>
      </c>
    </row>
    <row r="25" spans="1:14" ht="21.6" x14ac:dyDescent="0.3">
      <c r="A25" s="248" t="s">
        <v>158</v>
      </c>
      <c r="B25" s="249" t="s">
        <v>160</v>
      </c>
    </row>
    <row r="26" spans="1:14" x14ac:dyDescent="0.3">
      <c r="A26" s="236" t="s">
        <v>147</v>
      </c>
      <c r="B26" s="250">
        <f>(B23*1.8)+((1-B23)*2.1)</f>
        <v>1.9713438543973694</v>
      </c>
    </row>
    <row r="28" spans="1:14" x14ac:dyDescent="0.3">
      <c r="A28" s="236" t="s">
        <v>156</v>
      </c>
    </row>
    <row r="29" spans="1:14" x14ac:dyDescent="0.3">
      <c r="A29" s="236" t="s">
        <v>111</v>
      </c>
    </row>
  </sheetData>
  <sheetProtection algorithmName="SHA-512" hashValue="cPs3xmBQvZHovXk/d8zdjftXod62j+qucnrumOe0rmA2tNPuR5zFpTL2h70O6SnVgjh4MJgH2TEaGuhg+C3CFQ==" saltValue="ycVtvDGaiugEP7O3WTdThA==" spinCount="100000" sheet="1" objects="1" scenarios="1" selectLockedCells="1" selectUnlockedCells="1"/>
  <mergeCells count="6">
    <mergeCell ref="I4:N4"/>
    <mergeCell ref="B4:G4"/>
    <mergeCell ref="B3:G3"/>
    <mergeCell ref="I3:N3"/>
    <mergeCell ref="A2:C2"/>
    <mergeCell ref="A4:A6"/>
  </mergeCells>
  <printOptions gridLines="1"/>
  <pageMargins left="0.25" right="0.25" top="0.75" bottom="0.75" header="0.3" footer="0.3"/>
  <pageSetup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1" sqref="A11"/>
    </sheetView>
  </sheetViews>
  <sheetFormatPr defaultRowHeight="14.4" x14ac:dyDescent="0.3"/>
  <cols>
    <col min="1" max="1" width="28.5546875" bestFit="1" customWidth="1"/>
  </cols>
  <sheetData>
    <row r="1" spans="1:2" x14ac:dyDescent="0.3">
      <c r="A1" s="1" t="s">
        <v>264</v>
      </c>
    </row>
    <row r="2" spans="1:2" x14ac:dyDescent="0.3">
      <c r="A2" s="363">
        <v>2013</v>
      </c>
      <c r="B2" s="362" t="s">
        <v>269</v>
      </c>
    </row>
    <row r="3" spans="1:2" x14ac:dyDescent="0.3">
      <c r="A3" t="s">
        <v>265</v>
      </c>
      <c r="B3" s="304">
        <v>0.155</v>
      </c>
    </row>
    <row r="4" spans="1:2" x14ac:dyDescent="0.3">
      <c r="A4" t="s">
        <v>266</v>
      </c>
      <c r="B4" s="365">
        <v>0.4</v>
      </c>
    </row>
    <row r="5" spans="1:2" x14ac:dyDescent="0.3">
      <c r="A5" t="s">
        <v>267</v>
      </c>
      <c r="B5" s="366">
        <v>0.21</v>
      </c>
    </row>
    <row r="6" spans="1:2" x14ac:dyDescent="0.3">
      <c r="A6" t="s">
        <v>268</v>
      </c>
      <c r="B6" s="365">
        <f>(B3*B4)/B5</f>
        <v>0.29523809523809524</v>
      </c>
    </row>
    <row r="8" spans="1:2" x14ac:dyDescent="0.3">
      <c r="A8" t="s">
        <v>270</v>
      </c>
    </row>
    <row r="9" spans="1:2" x14ac:dyDescent="0.3">
      <c r="A9" t="s">
        <v>271</v>
      </c>
    </row>
    <row r="10" spans="1:2" x14ac:dyDescent="0.3">
      <c r="A10" s="364" t="s">
        <v>272</v>
      </c>
    </row>
  </sheetData>
  <sheetProtection algorithmName="SHA-512" hashValue="TqegO7o1V1pi0dwBE7umHUhhiX2t5EhxnfhALSz7V7fFW/amOkFji5WSxnM9vh+EfCL0L19QM2uRRfn2FeV39w==" saltValue="6/XGSPZBC9W883oNXymViw==" spinCount="100000" sheet="1" objects="1" scenarios="1" selectLockedCells="1" selectUnlockedCells="1"/>
  <hyperlinks>
    <hyperlink ref="A10" r:id="rId1"/>
  </hyperlinks>
  <printOptions gridLines="1"/>
  <pageMargins left="0.25" right="0.25" top="0.75" bottom="0.75" header="0.3" footer="0.3"/>
  <pageSetup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06"/>
  <sheetViews>
    <sheetView zoomScale="70" zoomScaleNormal="70" workbookViewId="0">
      <selection sqref="A1:U1"/>
    </sheetView>
  </sheetViews>
  <sheetFormatPr defaultColWidth="9.109375" defaultRowHeight="18" customHeight="1" x14ac:dyDescent="0.3"/>
  <cols>
    <col min="1" max="1" width="9.109375" style="4"/>
    <col min="2" max="2" width="16.6640625" style="9" customWidth="1"/>
    <col min="3" max="3" width="17.5546875" style="5" customWidth="1"/>
    <col min="4" max="5" width="16" style="5" customWidth="1"/>
    <col min="6" max="8" width="15.33203125" style="5" customWidth="1"/>
    <col min="9" max="9" width="14.6640625" style="5" customWidth="1"/>
    <col min="10" max="10" width="14.5546875" style="5" customWidth="1"/>
    <col min="11" max="12" width="14.44140625" style="5" customWidth="1"/>
    <col min="13" max="13" width="14.5546875" style="5" customWidth="1"/>
    <col min="14" max="14" width="16.44140625" style="5" customWidth="1"/>
    <col min="15" max="15" width="16.109375" style="5" customWidth="1"/>
    <col min="16" max="16" width="13.6640625" style="5" customWidth="1"/>
    <col min="17" max="17" width="14.44140625" style="5" customWidth="1"/>
    <col min="18" max="18" width="13.109375" style="5" customWidth="1"/>
    <col min="19" max="19" width="14.5546875" style="5" customWidth="1"/>
    <col min="20" max="20" width="15.6640625" style="5" customWidth="1"/>
    <col min="21" max="21" width="16.109375" style="5" customWidth="1"/>
    <col min="22" max="22" width="6.5546875" customWidth="1"/>
    <col min="23" max="23" width="14.109375" customWidth="1"/>
    <col min="24" max="25" width="13.5546875" customWidth="1"/>
    <col min="26" max="26" width="14.6640625" customWidth="1"/>
    <col min="27" max="98" width="8.88671875" customWidth="1"/>
    <col min="99" max="16384" width="9.109375" style="5"/>
  </cols>
  <sheetData>
    <row r="1" spans="1:98" ht="25.5" customHeight="1" thickBot="1" x14ac:dyDescent="0.35">
      <c r="A1" s="379" t="s">
        <v>43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</row>
    <row r="2" spans="1:98" s="3" customFormat="1" ht="18" customHeight="1" thickBot="1" x14ac:dyDescent="0.35">
      <c r="A2" s="463" t="s">
        <v>36</v>
      </c>
      <c r="B2" s="464" t="s">
        <v>37</v>
      </c>
      <c r="C2" s="463" t="s">
        <v>17</v>
      </c>
      <c r="D2" s="464"/>
      <c r="E2" s="465"/>
      <c r="F2" s="464" t="s">
        <v>30</v>
      </c>
      <c r="G2" s="464"/>
      <c r="H2" s="469"/>
      <c r="I2" s="474" t="s">
        <v>45</v>
      </c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5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</row>
    <row r="3" spans="1:98" s="2" customFormat="1" ht="18" customHeight="1" x14ac:dyDescent="0.3">
      <c r="A3" s="471"/>
      <c r="B3" s="473"/>
      <c r="C3" s="466"/>
      <c r="D3" s="467"/>
      <c r="E3" s="468"/>
      <c r="F3" s="467"/>
      <c r="G3" s="467"/>
      <c r="H3" s="470"/>
      <c r="I3" s="475" t="s">
        <v>1</v>
      </c>
      <c r="J3" s="476"/>
      <c r="K3" s="476"/>
      <c r="L3" s="476"/>
      <c r="M3" s="476"/>
      <c r="N3" s="476"/>
      <c r="O3" s="77" t="s">
        <v>26</v>
      </c>
      <c r="P3" s="375" t="s">
        <v>15</v>
      </c>
      <c r="Q3" s="375"/>
      <c r="R3" s="375"/>
      <c r="S3" s="375"/>
      <c r="T3" s="375"/>
      <c r="U3" s="477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s="2" customFormat="1" ht="18" customHeight="1" thickBot="1" x14ac:dyDescent="0.35">
      <c r="A4" s="472"/>
      <c r="B4" s="439"/>
      <c r="C4" s="65" t="s">
        <v>18</v>
      </c>
      <c r="D4" s="66" t="s">
        <v>19</v>
      </c>
      <c r="E4" s="67" t="s">
        <v>15</v>
      </c>
      <c r="F4" s="68" t="s">
        <v>0</v>
      </c>
      <c r="G4" s="69" t="s">
        <v>1</v>
      </c>
      <c r="H4" s="70" t="s">
        <v>15</v>
      </c>
      <c r="I4" s="71" t="s">
        <v>20</v>
      </c>
      <c r="J4" s="72" t="s">
        <v>21</v>
      </c>
      <c r="K4" s="72" t="s">
        <v>22</v>
      </c>
      <c r="L4" s="72" t="s">
        <v>23</v>
      </c>
      <c r="M4" s="72" t="s">
        <v>24</v>
      </c>
      <c r="N4" s="73" t="s">
        <v>25</v>
      </c>
      <c r="O4" s="74" t="s">
        <v>20</v>
      </c>
      <c r="P4" s="75" t="s">
        <v>20</v>
      </c>
      <c r="Q4" s="72" t="s">
        <v>21</v>
      </c>
      <c r="R4" s="72" t="s">
        <v>22</v>
      </c>
      <c r="S4" s="72" t="s">
        <v>23</v>
      </c>
      <c r="T4" s="72" t="s">
        <v>24</v>
      </c>
      <c r="U4" s="76" t="s">
        <v>25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</row>
    <row r="5" spans="1:98" ht="18" customHeight="1" x14ac:dyDescent="0.3">
      <c r="A5" s="11">
        <v>2000</v>
      </c>
      <c r="B5" s="12" t="s">
        <v>2</v>
      </c>
      <c r="C5" s="25">
        <v>2646787576</v>
      </c>
      <c r="D5" s="26">
        <f t="shared" ref="D5:D16" si="0">+N5</f>
        <v>100302357</v>
      </c>
      <c r="E5" s="27">
        <f t="shared" ref="E5:E16" si="1">+U5</f>
        <v>232502275</v>
      </c>
      <c r="F5" s="28">
        <v>22499137</v>
      </c>
      <c r="G5" s="26">
        <v>811639</v>
      </c>
      <c r="H5" s="28">
        <v>1954968</v>
      </c>
      <c r="I5" s="29">
        <v>12249149</v>
      </c>
      <c r="J5" s="26">
        <v>3747372</v>
      </c>
      <c r="K5" s="28">
        <v>5826372</v>
      </c>
      <c r="L5" s="26">
        <f>43069619+45969</f>
        <v>43115588</v>
      </c>
      <c r="M5" s="26">
        <v>35363876</v>
      </c>
      <c r="N5" s="30">
        <f t="shared" ref="N5:N16" si="2">SUM(I5:M5)</f>
        <v>100302357</v>
      </c>
      <c r="O5" s="31">
        <v>485851029</v>
      </c>
      <c r="P5" s="32">
        <v>52848604</v>
      </c>
      <c r="Q5" s="26">
        <v>8975547</v>
      </c>
      <c r="R5" s="26">
        <v>5259202</v>
      </c>
      <c r="S5" s="26">
        <f>76661738-460263</f>
        <v>76201475</v>
      </c>
      <c r="T5" s="26">
        <v>89217447</v>
      </c>
      <c r="U5" s="27">
        <f t="shared" ref="U5:U16" si="3">SUM(P5:T5)</f>
        <v>232502275</v>
      </c>
    </row>
    <row r="6" spans="1:98" ht="18" customHeight="1" x14ac:dyDescent="0.3">
      <c r="A6" s="11">
        <v>2000</v>
      </c>
      <c r="B6" s="12" t="s">
        <v>3</v>
      </c>
      <c r="C6" s="25">
        <v>2506396124</v>
      </c>
      <c r="D6" s="26">
        <f t="shared" si="0"/>
        <v>94223862</v>
      </c>
      <c r="E6" s="27">
        <f t="shared" si="1"/>
        <v>219745702</v>
      </c>
      <c r="F6" s="28">
        <v>20996585</v>
      </c>
      <c r="G6" s="26">
        <v>760325</v>
      </c>
      <c r="H6" s="28">
        <v>1825798</v>
      </c>
      <c r="I6" s="29">
        <v>11573882</v>
      </c>
      <c r="J6" s="26">
        <v>4066400</v>
      </c>
      <c r="K6" s="28">
        <v>8606335</v>
      </c>
      <c r="L6" s="26">
        <f>38059313-417947</f>
        <v>37641366</v>
      </c>
      <c r="M6" s="26">
        <v>32335879</v>
      </c>
      <c r="N6" s="30">
        <f t="shared" si="2"/>
        <v>94223862</v>
      </c>
      <c r="O6" s="31">
        <v>458885688</v>
      </c>
      <c r="P6" s="32">
        <v>49785076</v>
      </c>
      <c r="Q6" s="26">
        <v>9511410</v>
      </c>
      <c r="R6" s="26">
        <v>6965349</v>
      </c>
      <c r="S6" s="26">
        <f>71516781-692306</f>
        <v>70824475</v>
      </c>
      <c r="T6" s="26">
        <v>82659392</v>
      </c>
      <c r="U6" s="27">
        <f t="shared" si="3"/>
        <v>219745702</v>
      </c>
    </row>
    <row r="7" spans="1:98" ht="18" customHeight="1" x14ac:dyDescent="0.3">
      <c r="A7" s="11">
        <v>2000</v>
      </c>
      <c r="B7" s="12" t="s">
        <v>4</v>
      </c>
      <c r="C7" s="25">
        <v>2683491012</v>
      </c>
      <c r="D7" s="26">
        <f t="shared" si="0"/>
        <v>100804704</v>
      </c>
      <c r="E7" s="27">
        <f t="shared" si="1"/>
        <v>235062061</v>
      </c>
      <c r="F7" s="28">
        <v>22433384</v>
      </c>
      <c r="G7" s="26">
        <v>818257</v>
      </c>
      <c r="H7" s="28">
        <v>1951554</v>
      </c>
      <c r="I7" s="29">
        <v>12495586</v>
      </c>
      <c r="J7" s="26">
        <v>4742220</v>
      </c>
      <c r="K7" s="28">
        <v>10592621</v>
      </c>
      <c r="L7" s="26">
        <f>37514135-869133</f>
        <v>36645002</v>
      </c>
      <c r="M7" s="26">
        <v>36329275</v>
      </c>
      <c r="N7" s="30">
        <f t="shared" si="2"/>
        <v>100804704</v>
      </c>
      <c r="O7" s="31">
        <v>496552264</v>
      </c>
      <c r="P7" s="32">
        <v>53973094</v>
      </c>
      <c r="Q7" s="26">
        <v>9757477</v>
      </c>
      <c r="R7" s="26">
        <v>7740611</v>
      </c>
      <c r="S7" s="26">
        <f>72623480-39718</f>
        <v>72583762</v>
      </c>
      <c r="T7" s="26">
        <v>91007117</v>
      </c>
      <c r="U7" s="27">
        <f t="shared" si="3"/>
        <v>235062061</v>
      </c>
    </row>
    <row r="8" spans="1:98" ht="18" customHeight="1" x14ac:dyDescent="0.3">
      <c r="A8" s="11">
        <v>2000</v>
      </c>
      <c r="B8" s="12" t="s">
        <v>5</v>
      </c>
      <c r="C8" s="25">
        <v>2670756843</v>
      </c>
      <c r="D8" s="26">
        <f t="shared" si="0"/>
        <v>97289760</v>
      </c>
      <c r="E8" s="27">
        <f t="shared" si="1"/>
        <v>233636693</v>
      </c>
      <c r="F8" s="28">
        <v>21992314</v>
      </c>
      <c r="G8" s="26">
        <v>791862</v>
      </c>
      <c r="H8" s="28">
        <v>1908113</v>
      </c>
      <c r="I8" s="29">
        <v>11478124</v>
      </c>
      <c r="J8" s="26">
        <v>4753715</v>
      </c>
      <c r="K8" s="28">
        <v>11561922</v>
      </c>
      <c r="L8" s="26">
        <f>32091584+1306743</f>
        <v>33398327</v>
      </c>
      <c r="M8" s="26">
        <v>36097672</v>
      </c>
      <c r="N8" s="30">
        <f t="shared" si="2"/>
        <v>97289760</v>
      </c>
      <c r="O8" s="31">
        <v>447586897</v>
      </c>
      <c r="P8" s="32">
        <v>48645104</v>
      </c>
      <c r="Q8" s="26">
        <v>9495816</v>
      </c>
      <c r="R8" s="26">
        <v>8210748</v>
      </c>
      <c r="S8" s="26">
        <f>72883332+1273733</f>
        <v>74157065</v>
      </c>
      <c r="T8" s="26">
        <v>93127960</v>
      </c>
      <c r="U8" s="27">
        <f t="shared" si="3"/>
        <v>233636693</v>
      </c>
    </row>
    <row r="9" spans="1:98" ht="18" customHeight="1" x14ac:dyDescent="0.3">
      <c r="A9" s="11">
        <v>2000</v>
      </c>
      <c r="B9" s="12" t="s">
        <v>6</v>
      </c>
      <c r="C9" s="25">
        <v>2733106657</v>
      </c>
      <c r="D9" s="26">
        <f t="shared" si="0"/>
        <v>98657985</v>
      </c>
      <c r="E9" s="27">
        <f t="shared" si="1"/>
        <v>238509790</v>
      </c>
      <c r="F9" s="28">
        <v>22816259</v>
      </c>
      <c r="G9" s="26">
        <v>818257</v>
      </c>
      <c r="H9" s="28">
        <v>1971716</v>
      </c>
      <c r="I9" s="29">
        <v>12301280</v>
      </c>
      <c r="J9" s="26">
        <v>5095426</v>
      </c>
      <c r="K9" s="28">
        <v>14267658</v>
      </c>
      <c r="L9" s="26">
        <f>31628827-1284913</f>
        <v>30343914</v>
      </c>
      <c r="M9" s="26">
        <v>36649707</v>
      </c>
      <c r="N9" s="30">
        <f t="shared" si="2"/>
        <v>98657985</v>
      </c>
      <c r="O9" s="31">
        <v>483357397</v>
      </c>
      <c r="P9" s="32">
        <v>52508223</v>
      </c>
      <c r="Q9" s="26">
        <v>10060432</v>
      </c>
      <c r="R9" s="26">
        <v>8975229</v>
      </c>
      <c r="S9" s="26">
        <f>72022595-1239873</f>
        <v>70782722</v>
      </c>
      <c r="T9" s="26">
        <v>96183184</v>
      </c>
      <c r="U9" s="27">
        <f t="shared" si="3"/>
        <v>238509790</v>
      </c>
    </row>
    <row r="10" spans="1:98" ht="18" customHeight="1" x14ac:dyDescent="0.3">
      <c r="A10" s="11">
        <v>2000</v>
      </c>
      <c r="B10" s="12" t="s">
        <v>7</v>
      </c>
      <c r="C10" s="25">
        <v>2607979439</v>
      </c>
      <c r="D10" s="26">
        <f t="shared" si="0"/>
        <v>92650472</v>
      </c>
      <c r="E10" s="27">
        <f t="shared" si="1"/>
        <v>226676307</v>
      </c>
      <c r="F10" s="28">
        <v>22168559</v>
      </c>
      <c r="G10" s="26">
        <v>788649</v>
      </c>
      <c r="H10" s="28">
        <v>1908112</v>
      </c>
      <c r="I10" s="29">
        <v>11741263</v>
      </c>
      <c r="J10" s="26">
        <v>5576765</v>
      </c>
      <c r="K10" s="28">
        <v>15343846</v>
      </c>
      <c r="L10" s="26">
        <f>25116086-161106</f>
        <v>24954980</v>
      </c>
      <c r="M10" s="26">
        <v>35033618</v>
      </c>
      <c r="N10" s="30">
        <f t="shared" si="2"/>
        <v>92650472</v>
      </c>
      <c r="O10" s="31">
        <v>457257918</v>
      </c>
      <c r="P10" s="32">
        <v>49722239</v>
      </c>
      <c r="Q10" s="26">
        <v>9373414</v>
      </c>
      <c r="R10" s="26">
        <v>8651884</v>
      </c>
      <c r="S10" s="26">
        <f>67147068-741031</f>
        <v>66406037</v>
      </c>
      <c r="T10" s="26">
        <v>92522733</v>
      </c>
      <c r="U10" s="27">
        <f t="shared" si="3"/>
        <v>226676307</v>
      </c>
    </row>
    <row r="11" spans="1:98" ht="18" customHeight="1" x14ac:dyDescent="0.3">
      <c r="A11" s="11">
        <v>2000</v>
      </c>
      <c r="B11" s="12" t="s">
        <v>8</v>
      </c>
      <c r="C11" s="25">
        <v>2720882506</v>
      </c>
      <c r="D11" s="26">
        <f t="shared" si="0"/>
        <v>96692664</v>
      </c>
      <c r="E11" s="27">
        <f t="shared" si="1"/>
        <v>236448333</v>
      </c>
      <c r="F11" s="28">
        <v>22967220</v>
      </c>
      <c r="G11" s="26">
        <v>816057</v>
      </c>
      <c r="H11" s="28">
        <v>1971716</v>
      </c>
      <c r="I11" s="29">
        <v>12079962</v>
      </c>
      <c r="J11" s="26">
        <v>4639362</v>
      </c>
      <c r="K11" s="28">
        <v>16246127</v>
      </c>
      <c r="L11" s="26">
        <f>24862972+583920</f>
        <v>25446892</v>
      </c>
      <c r="M11" s="26">
        <v>38280321</v>
      </c>
      <c r="N11" s="30">
        <f t="shared" si="2"/>
        <v>96692664</v>
      </c>
      <c r="O11" s="31">
        <v>459659251</v>
      </c>
      <c r="P11" s="32">
        <v>49922975</v>
      </c>
      <c r="Q11" s="26">
        <v>8699287</v>
      </c>
      <c r="R11" s="26">
        <v>8672507</v>
      </c>
      <c r="S11" s="26">
        <f>68784235+880922</f>
        <v>69665157</v>
      </c>
      <c r="T11" s="26">
        <v>99488407</v>
      </c>
      <c r="U11" s="27">
        <f t="shared" si="3"/>
        <v>236448333</v>
      </c>
    </row>
    <row r="12" spans="1:98" ht="18" customHeight="1" x14ac:dyDescent="0.3">
      <c r="A12" s="11">
        <v>2000</v>
      </c>
      <c r="B12" s="12" t="s">
        <v>9</v>
      </c>
      <c r="C12" s="25">
        <v>2623187623</v>
      </c>
      <c r="D12" s="26">
        <f t="shared" si="0"/>
        <v>94064185</v>
      </c>
      <c r="E12" s="27">
        <f t="shared" si="1"/>
        <v>227971841</v>
      </c>
      <c r="F12" s="28">
        <v>22289404</v>
      </c>
      <c r="G12" s="26">
        <v>793410</v>
      </c>
      <c r="H12" s="28">
        <v>1920502</v>
      </c>
      <c r="I12" s="29">
        <v>12678574</v>
      </c>
      <c r="J12" s="26">
        <v>5314876</v>
      </c>
      <c r="K12" s="28">
        <v>11588702</v>
      </c>
      <c r="L12" s="26">
        <f>26119791-367682</f>
        <v>25752109</v>
      </c>
      <c r="M12" s="26">
        <v>38729924</v>
      </c>
      <c r="N12" s="30">
        <f t="shared" si="2"/>
        <v>94064185</v>
      </c>
      <c r="O12" s="31">
        <v>481070006</v>
      </c>
      <c r="P12" s="32">
        <v>52277551</v>
      </c>
      <c r="Q12" s="26">
        <v>10341042</v>
      </c>
      <c r="R12" s="26">
        <v>8375730</v>
      </c>
      <c r="S12" s="26">
        <f>61893411-540858</f>
        <v>61352553</v>
      </c>
      <c r="T12" s="26">
        <v>95624965</v>
      </c>
      <c r="U12" s="27">
        <f t="shared" si="3"/>
        <v>227971841</v>
      </c>
    </row>
    <row r="13" spans="1:98" ht="18" customHeight="1" x14ac:dyDescent="0.3">
      <c r="A13" s="11">
        <v>2000</v>
      </c>
      <c r="B13" s="12" t="s">
        <v>10</v>
      </c>
      <c r="C13" s="25">
        <v>2541213451</v>
      </c>
      <c r="D13" s="26">
        <f t="shared" si="0"/>
        <v>92631237</v>
      </c>
      <c r="E13" s="27">
        <f t="shared" si="1"/>
        <v>221932342</v>
      </c>
      <c r="F13" s="28">
        <v>22070358</v>
      </c>
      <c r="G13" s="26">
        <v>790856</v>
      </c>
      <c r="H13" s="28">
        <v>1908112</v>
      </c>
      <c r="I13" s="29">
        <v>12026607</v>
      </c>
      <c r="J13" s="26">
        <v>4541741</v>
      </c>
      <c r="K13" s="28">
        <v>8780969</v>
      </c>
      <c r="L13" s="26">
        <f>28777749+969512</f>
        <v>29747261</v>
      </c>
      <c r="M13" s="26">
        <v>37534659</v>
      </c>
      <c r="N13" s="30">
        <f t="shared" si="2"/>
        <v>92631237</v>
      </c>
      <c r="O13" s="31">
        <v>474003223</v>
      </c>
      <c r="P13" s="32">
        <v>51574242</v>
      </c>
      <c r="Q13" s="26">
        <v>9375680</v>
      </c>
      <c r="R13" s="26">
        <v>7098268</v>
      </c>
      <c r="S13" s="26">
        <f>63283447+1277002</f>
        <v>64560449</v>
      </c>
      <c r="T13" s="26">
        <v>89323703</v>
      </c>
      <c r="U13" s="27">
        <f t="shared" si="3"/>
        <v>221932342</v>
      </c>
    </row>
    <row r="14" spans="1:98" ht="18" customHeight="1" x14ac:dyDescent="0.3">
      <c r="A14" s="11">
        <v>2000</v>
      </c>
      <c r="B14" s="12" t="s">
        <v>11</v>
      </c>
      <c r="C14" s="25">
        <v>2631418652</v>
      </c>
      <c r="D14" s="26">
        <f t="shared" si="0"/>
        <v>97474643</v>
      </c>
      <c r="E14" s="27">
        <f t="shared" si="1"/>
        <v>231297117</v>
      </c>
      <c r="F14" s="28">
        <v>22737167</v>
      </c>
      <c r="G14" s="26">
        <v>818257</v>
      </c>
      <c r="H14" s="28">
        <v>1971716</v>
      </c>
      <c r="I14" s="29">
        <v>12959471</v>
      </c>
      <c r="J14" s="26">
        <v>5068332</v>
      </c>
      <c r="K14" s="28">
        <v>8426305</v>
      </c>
      <c r="L14" s="26">
        <f>31537572-417260</f>
        <v>31120312</v>
      </c>
      <c r="M14" s="26">
        <v>39900223</v>
      </c>
      <c r="N14" s="30">
        <f t="shared" si="2"/>
        <v>97474643</v>
      </c>
      <c r="O14" s="31">
        <v>506394026</v>
      </c>
      <c r="P14" s="32">
        <v>55088980</v>
      </c>
      <c r="Q14" s="26">
        <v>9534435</v>
      </c>
      <c r="R14" s="26">
        <f>6934973</f>
        <v>6934973</v>
      </c>
      <c r="S14" s="26">
        <f>65074517-639797</f>
        <v>64434720</v>
      </c>
      <c r="T14" s="26">
        <v>95304009</v>
      </c>
      <c r="U14" s="27">
        <f t="shared" si="3"/>
        <v>231297117</v>
      </c>
    </row>
    <row r="15" spans="1:98" ht="18" customHeight="1" x14ac:dyDescent="0.3">
      <c r="A15" s="11">
        <v>2000</v>
      </c>
      <c r="B15" s="12" t="s">
        <v>12</v>
      </c>
      <c r="C15" s="25">
        <v>2540889606</v>
      </c>
      <c r="D15" s="26">
        <f t="shared" si="0"/>
        <v>96381913</v>
      </c>
      <c r="E15" s="27">
        <f t="shared" si="1"/>
        <v>224552298</v>
      </c>
      <c r="F15" s="28">
        <v>21725649</v>
      </c>
      <c r="G15" s="26">
        <v>791861</v>
      </c>
      <c r="H15" s="28">
        <v>1908112</v>
      </c>
      <c r="I15" s="29">
        <v>12659708</v>
      </c>
      <c r="J15" s="26">
        <v>6863902</v>
      </c>
      <c r="K15" s="28">
        <v>8013869</v>
      </c>
      <c r="L15" s="26">
        <f>31242135-748780</f>
        <v>30493355</v>
      </c>
      <c r="M15" s="26">
        <v>38351079</v>
      </c>
      <c r="N15" s="30">
        <f t="shared" si="2"/>
        <v>96381913</v>
      </c>
      <c r="O15" s="31">
        <v>481839426</v>
      </c>
      <c r="P15" s="32">
        <v>52510011</v>
      </c>
      <c r="Q15" s="26">
        <v>9832713</v>
      </c>
      <c r="R15" s="26">
        <v>5729388</v>
      </c>
      <c r="S15" s="26">
        <f>62815928-570760</f>
        <v>62245168</v>
      </c>
      <c r="T15" s="26">
        <v>94235018</v>
      </c>
      <c r="U15" s="27">
        <f t="shared" si="3"/>
        <v>224552298</v>
      </c>
    </row>
    <row r="16" spans="1:98" s="6" customFormat="1" ht="18" customHeight="1" thickBot="1" x14ac:dyDescent="0.35">
      <c r="A16" s="11">
        <v>2000</v>
      </c>
      <c r="B16" s="12" t="s">
        <v>13</v>
      </c>
      <c r="C16" s="25">
        <v>2670445950</v>
      </c>
      <c r="D16" s="26">
        <f t="shared" si="0"/>
        <v>101380678</v>
      </c>
      <c r="E16" s="27">
        <f t="shared" si="1"/>
        <v>235405559</v>
      </c>
      <c r="F16" s="28">
        <v>22433749</v>
      </c>
      <c r="G16" s="26">
        <v>811223</v>
      </c>
      <c r="H16" s="28">
        <v>1968495</v>
      </c>
      <c r="I16" s="29">
        <v>12251157</v>
      </c>
      <c r="J16" s="26">
        <v>6007803</v>
      </c>
      <c r="K16" s="28">
        <v>6600498</v>
      </c>
      <c r="L16" s="26">
        <f>33905038+1527539</f>
        <v>35432577</v>
      </c>
      <c r="M16" s="26">
        <v>41088643</v>
      </c>
      <c r="N16" s="30">
        <f t="shared" si="2"/>
        <v>101380678</v>
      </c>
      <c r="O16" s="31">
        <v>463911607</v>
      </c>
      <c r="P16" s="32">
        <v>50506559</v>
      </c>
      <c r="Q16" s="26">
        <v>10034512</v>
      </c>
      <c r="R16" s="26">
        <v>4589789</v>
      </c>
      <c r="S16" s="26">
        <f>67118639+1007360</f>
        <v>68125999</v>
      </c>
      <c r="T16" s="26">
        <v>102148700</v>
      </c>
      <c r="U16" s="27">
        <f t="shared" si="3"/>
        <v>235405559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</row>
    <row r="17" spans="1:98" s="22" customFormat="1" ht="18" customHeight="1" thickTop="1" thickBot="1" x14ac:dyDescent="0.35">
      <c r="A17" s="20">
        <v>2000</v>
      </c>
      <c r="B17" s="21" t="s">
        <v>14</v>
      </c>
      <c r="C17" s="33">
        <f t="shared" ref="C17:U17" si="4">SUM(C5:C16)</f>
        <v>31576555439</v>
      </c>
      <c r="D17" s="34">
        <f t="shared" si="4"/>
        <v>1162554460</v>
      </c>
      <c r="E17" s="35">
        <f t="shared" si="4"/>
        <v>2763740318</v>
      </c>
      <c r="F17" s="36">
        <f t="shared" si="4"/>
        <v>267129785</v>
      </c>
      <c r="G17" s="34">
        <f t="shared" si="4"/>
        <v>9610653</v>
      </c>
      <c r="H17" s="36">
        <f t="shared" si="4"/>
        <v>23168914</v>
      </c>
      <c r="I17" s="37">
        <f t="shared" si="4"/>
        <v>146494763</v>
      </c>
      <c r="J17" s="34">
        <f t="shared" si="4"/>
        <v>60417914</v>
      </c>
      <c r="K17" s="36">
        <f t="shared" si="4"/>
        <v>125855224</v>
      </c>
      <c r="L17" s="34">
        <f t="shared" si="4"/>
        <v>384091683</v>
      </c>
      <c r="M17" s="34">
        <f t="shared" si="4"/>
        <v>445694876</v>
      </c>
      <c r="N17" s="38">
        <f t="shared" si="4"/>
        <v>1162554460</v>
      </c>
      <c r="O17" s="39">
        <f t="shared" si="4"/>
        <v>5696368732</v>
      </c>
      <c r="P17" s="40">
        <f t="shared" si="4"/>
        <v>619362658</v>
      </c>
      <c r="Q17" s="34">
        <f t="shared" si="4"/>
        <v>114991765</v>
      </c>
      <c r="R17" s="34">
        <f t="shared" si="4"/>
        <v>87203678</v>
      </c>
      <c r="S17" s="34">
        <f t="shared" si="4"/>
        <v>821339582</v>
      </c>
      <c r="T17" s="34">
        <f t="shared" si="4"/>
        <v>1120842635</v>
      </c>
      <c r="U17" s="35">
        <f t="shared" si="4"/>
        <v>2763740318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 ht="18" customHeight="1" thickTop="1" x14ac:dyDescent="0.3">
      <c r="A18" s="11">
        <v>2001</v>
      </c>
      <c r="B18" s="12" t="s">
        <v>2</v>
      </c>
      <c r="C18" s="25">
        <v>2723563897</v>
      </c>
      <c r="D18" s="26">
        <f t="shared" ref="D18:D29" si="5">+N18</f>
        <v>103919042</v>
      </c>
      <c r="E18" s="27">
        <f t="shared" ref="E18:E29" si="6">+U18</f>
        <v>240414062</v>
      </c>
      <c r="F18" s="28">
        <v>22491017</v>
      </c>
      <c r="G18" s="26">
        <v>818258</v>
      </c>
      <c r="H18" s="28">
        <v>1971716</v>
      </c>
      <c r="I18" s="29">
        <v>12298179</v>
      </c>
      <c r="J18" s="26">
        <v>4316869</v>
      </c>
      <c r="K18" s="28">
        <v>8331608</v>
      </c>
      <c r="L18" s="26">
        <f>37927639-140364</f>
        <v>37787275</v>
      </c>
      <c r="M18" s="26">
        <v>41185111</v>
      </c>
      <c r="N18" s="30">
        <f t="shared" ref="N18:N29" si="7">SUM(I18:M18)</f>
        <v>103919042</v>
      </c>
      <c r="O18" s="31">
        <v>484795864</v>
      </c>
      <c r="P18" s="32">
        <v>52865603</v>
      </c>
      <c r="Q18" s="26">
        <v>8803773</v>
      </c>
      <c r="R18" s="26">
        <v>6503972</v>
      </c>
      <c r="S18" s="26">
        <f>68734996-121838</f>
        <v>68613158</v>
      </c>
      <c r="T18" s="26">
        <v>103627556</v>
      </c>
      <c r="U18" s="27">
        <f t="shared" ref="U18:U29" si="8">SUM(P18:T18)</f>
        <v>240414062</v>
      </c>
    </row>
    <row r="19" spans="1:98" ht="18" customHeight="1" x14ac:dyDescent="0.3">
      <c r="A19" s="11">
        <v>2001</v>
      </c>
      <c r="B19" s="12" t="s">
        <v>3</v>
      </c>
      <c r="C19" s="25">
        <v>2511675750</v>
      </c>
      <c r="D19" s="26">
        <f t="shared" si="5"/>
        <v>94749985</v>
      </c>
      <c r="E19" s="27">
        <f t="shared" si="6"/>
        <v>221104199</v>
      </c>
      <c r="F19" s="28">
        <v>20320127</v>
      </c>
      <c r="G19" s="26">
        <v>739071</v>
      </c>
      <c r="H19" s="28">
        <v>1780904</v>
      </c>
      <c r="I19" s="29">
        <v>11264195</v>
      </c>
      <c r="J19" s="26">
        <v>3697624</v>
      </c>
      <c r="K19" s="28">
        <v>7928342</v>
      </c>
      <c r="L19" s="26">
        <f>33877443-327595</f>
        <v>33549848</v>
      </c>
      <c r="M19" s="26">
        <v>38309976</v>
      </c>
      <c r="N19" s="30">
        <f t="shared" si="7"/>
        <v>94749985</v>
      </c>
      <c r="O19" s="31">
        <v>441065974</v>
      </c>
      <c r="P19" s="32">
        <v>47930528</v>
      </c>
      <c r="Q19" s="26">
        <v>8404055</v>
      </c>
      <c r="R19" s="26">
        <v>6163252</v>
      </c>
      <c r="S19" s="26">
        <f>62182989-63633</f>
        <v>62119356</v>
      </c>
      <c r="T19" s="26">
        <v>96487008</v>
      </c>
      <c r="U19" s="27">
        <f t="shared" si="8"/>
        <v>221104199</v>
      </c>
    </row>
    <row r="20" spans="1:98" ht="18" customHeight="1" x14ac:dyDescent="0.3">
      <c r="A20" s="11">
        <v>2001</v>
      </c>
      <c r="B20" s="12" t="s">
        <v>4</v>
      </c>
      <c r="C20" s="25">
        <v>2799867866</v>
      </c>
      <c r="D20" s="26">
        <f t="shared" si="5"/>
        <v>103794188</v>
      </c>
      <c r="E20" s="27">
        <f t="shared" si="6"/>
        <v>244966370</v>
      </c>
      <c r="F20" s="28">
        <v>22517775</v>
      </c>
      <c r="G20" s="26">
        <v>818258</v>
      </c>
      <c r="H20" s="28">
        <v>1971715</v>
      </c>
      <c r="I20" s="29">
        <v>12246341</v>
      </c>
      <c r="J20" s="26">
        <v>5012962</v>
      </c>
      <c r="K20" s="28">
        <v>11585687</v>
      </c>
      <c r="L20" s="26">
        <f>31205213+272751</f>
        <v>31477964</v>
      </c>
      <c r="M20" s="26">
        <v>43471234</v>
      </c>
      <c r="N20" s="30">
        <f t="shared" si="7"/>
        <v>103794188</v>
      </c>
      <c r="O20" s="31">
        <v>487384571</v>
      </c>
      <c r="P20" s="32">
        <v>52662828</v>
      </c>
      <c r="Q20" s="26">
        <v>9872964</v>
      </c>
      <c r="R20" s="26">
        <v>7710259</v>
      </c>
      <c r="S20" s="26">
        <f>66413320+797735</f>
        <v>67211055</v>
      </c>
      <c r="T20" s="26">
        <v>107509264</v>
      </c>
      <c r="U20" s="27">
        <f t="shared" si="8"/>
        <v>244966370</v>
      </c>
    </row>
    <row r="21" spans="1:98" ht="18" customHeight="1" x14ac:dyDescent="0.3">
      <c r="A21" s="11">
        <v>2001</v>
      </c>
      <c r="B21" s="12" t="s">
        <v>5</v>
      </c>
      <c r="C21" s="25">
        <v>2780117645</v>
      </c>
      <c r="D21" s="26">
        <f t="shared" si="5"/>
        <v>101782525</v>
      </c>
      <c r="E21" s="27">
        <f t="shared" si="6"/>
        <v>243250043</v>
      </c>
      <c r="F21" s="28">
        <v>21870632</v>
      </c>
      <c r="G21" s="26">
        <v>791861</v>
      </c>
      <c r="H21" s="28">
        <v>1908112</v>
      </c>
      <c r="I21" s="29">
        <v>11924710</v>
      </c>
      <c r="J21" s="26">
        <v>5410293</v>
      </c>
      <c r="K21" s="28">
        <v>12201615</v>
      </c>
      <c r="L21" s="26">
        <f>30026798+6263</f>
        <v>30033061</v>
      </c>
      <c r="M21" s="26">
        <v>42212846</v>
      </c>
      <c r="N21" s="30">
        <f t="shared" si="7"/>
        <v>101782525</v>
      </c>
      <c r="O21" s="31">
        <v>468780855</v>
      </c>
      <c r="P21" s="32">
        <v>50498457</v>
      </c>
      <c r="Q21" s="26">
        <v>9261927</v>
      </c>
      <c r="R21" s="26">
        <v>8300311</v>
      </c>
      <c r="S21" s="26">
        <f>68805504-1045193</f>
        <v>67760311</v>
      </c>
      <c r="T21" s="26">
        <v>107429037</v>
      </c>
      <c r="U21" s="27">
        <f t="shared" si="8"/>
        <v>243250043</v>
      </c>
    </row>
    <row r="22" spans="1:98" ht="18" customHeight="1" x14ac:dyDescent="0.3">
      <c r="A22" s="11">
        <v>2001</v>
      </c>
      <c r="B22" s="12" t="s">
        <v>6</v>
      </c>
      <c r="C22" s="25">
        <v>2878139685</v>
      </c>
      <c r="D22" s="26">
        <f t="shared" si="5"/>
        <v>103366946</v>
      </c>
      <c r="E22" s="27">
        <f t="shared" si="6"/>
        <v>250084524</v>
      </c>
      <c r="F22" s="28">
        <v>22764203</v>
      </c>
      <c r="G22" s="26">
        <v>818257</v>
      </c>
      <c r="H22" s="28">
        <v>1971715</v>
      </c>
      <c r="I22" s="29">
        <v>12218001</v>
      </c>
      <c r="J22" s="26">
        <v>5988489</v>
      </c>
      <c r="K22" s="28">
        <v>14362741</v>
      </c>
      <c r="L22" s="26">
        <f>28191681-775537</f>
        <v>27416144</v>
      </c>
      <c r="M22" s="26">
        <v>43381571</v>
      </c>
      <c r="N22" s="30">
        <f t="shared" si="7"/>
        <v>103366946</v>
      </c>
      <c r="O22" s="31">
        <v>485672972</v>
      </c>
      <c r="P22" s="32">
        <v>52491156</v>
      </c>
      <c r="Q22" s="26">
        <v>9926300</v>
      </c>
      <c r="R22" s="26">
        <v>9104057</v>
      </c>
      <c r="S22" s="26">
        <f>69306541-84071</f>
        <v>69222470</v>
      </c>
      <c r="T22" s="26">
        <v>109340541</v>
      </c>
      <c r="U22" s="27">
        <f t="shared" si="8"/>
        <v>250084524</v>
      </c>
    </row>
    <row r="23" spans="1:98" ht="18" customHeight="1" x14ac:dyDescent="0.3">
      <c r="A23" s="11">
        <v>2001</v>
      </c>
      <c r="B23" s="12" t="s">
        <v>7</v>
      </c>
      <c r="C23" s="25">
        <v>2772521583</v>
      </c>
      <c r="D23" s="26">
        <f t="shared" si="5"/>
        <v>98823285</v>
      </c>
      <c r="E23" s="27">
        <f t="shared" si="6"/>
        <v>240372001</v>
      </c>
      <c r="F23" s="28">
        <v>22075052</v>
      </c>
      <c r="G23" s="26">
        <v>774217</v>
      </c>
      <c r="H23" s="28">
        <v>1908113</v>
      </c>
      <c r="I23" s="29">
        <v>11368691</v>
      </c>
      <c r="J23" s="26">
        <v>5242005</v>
      </c>
      <c r="K23" s="28">
        <v>13866512</v>
      </c>
      <c r="L23" s="26">
        <f>25562601-71455</f>
        <v>25491146</v>
      </c>
      <c r="M23" s="26">
        <v>42854931</v>
      </c>
      <c r="N23" s="30">
        <f t="shared" si="7"/>
        <v>98823285</v>
      </c>
      <c r="O23" s="31">
        <v>445020047</v>
      </c>
      <c r="P23" s="32">
        <v>48142953</v>
      </c>
      <c r="Q23" s="26">
        <v>8972971</v>
      </c>
      <c r="R23" s="26">
        <v>8912119</v>
      </c>
      <c r="S23" s="26">
        <f>67611628+197664</f>
        <v>67809292</v>
      </c>
      <c r="T23" s="26">
        <v>106534666</v>
      </c>
      <c r="U23" s="27">
        <f t="shared" si="8"/>
        <v>240372001</v>
      </c>
    </row>
    <row r="24" spans="1:98" ht="18" customHeight="1" x14ac:dyDescent="0.3">
      <c r="A24" s="11">
        <v>2001</v>
      </c>
      <c r="B24" s="12" t="s">
        <v>8</v>
      </c>
      <c r="C24" s="25">
        <v>2809312243</v>
      </c>
      <c r="D24" s="26">
        <f t="shared" si="5"/>
        <v>100298655</v>
      </c>
      <c r="E24" s="27">
        <f t="shared" si="6"/>
        <v>243473541</v>
      </c>
      <c r="F24" s="28">
        <v>22034464</v>
      </c>
      <c r="G24" s="26">
        <v>785682</v>
      </c>
      <c r="H24" s="28">
        <v>1897216</v>
      </c>
      <c r="I24" s="29">
        <v>12385168</v>
      </c>
      <c r="J24" s="26">
        <v>5521566</v>
      </c>
      <c r="K24" s="28">
        <v>13641829</v>
      </c>
      <c r="L24" s="26">
        <f>24837367-26266</f>
        <v>24811101</v>
      </c>
      <c r="M24" s="26">
        <v>43938991</v>
      </c>
      <c r="N24" s="30">
        <f t="shared" si="7"/>
        <v>100298655</v>
      </c>
      <c r="O24" s="31">
        <v>471246415</v>
      </c>
      <c r="P24" s="32">
        <v>50915017</v>
      </c>
      <c r="Q24" s="26">
        <v>9227183</v>
      </c>
      <c r="R24" s="26">
        <v>8867828</v>
      </c>
      <c r="S24" s="26">
        <f>65466546-586246</f>
        <v>64880300</v>
      </c>
      <c r="T24" s="26">
        <v>109583213</v>
      </c>
      <c r="U24" s="27">
        <f t="shared" si="8"/>
        <v>243473541</v>
      </c>
    </row>
    <row r="25" spans="1:98" ht="18" customHeight="1" x14ac:dyDescent="0.3">
      <c r="A25" s="11">
        <v>2001</v>
      </c>
      <c r="B25" s="12" t="s">
        <v>9</v>
      </c>
      <c r="C25" s="25">
        <v>2802039154</v>
      </c>
      <c r="D25" s="26">
        <f t="shared" si="5"/>
        <v>100422591</v>
      </c>
      <c r="E25" s="27">
        <f t="shared" si="6"/>
        <v>243711539</v>
      </c>
      <c r="F25" s="28">
        <v>22760309</v>
      </c>
      <c r="G25" s="26">
        <v>818257</v>
      </c>
      <c r="H25" s="28">
        <v>1971716</v>
      </c>
      <c r="I25" s="29">
        <v>12620118</v>
      </c>
      <c r="J25" s="26">
        <v>5637718</v>
      </c>
      <c r="K25" s="28">
        <v>13683877</v>
      </c>
      <c r="L25" s="26">
        <f>25276313+59657</f>
        <v>25335970</v>
      </c>
      <c r="M25" s="26">
        <v>43144908</v>
      </c>
      <c r="N25" s="30">
        <f t="shared" si="7"/>
        <v>100422591</v>
      </c>
      <c r="O25" s="31">
        <v>485791150</v>
      </c>
      <c r="P25" s="32">
        <v>52645902</v>
      </c>
      <c r="Q25" s="26">
        <v>9511687</v>
      </c>
      <c r="R25" s="26">
        <v>9088660</v>
      </c>
      <c r="S25" s="26">
        <f>63884057-453872</f>
        <v>63430185</v>
      </c>
      <c r="T25" s="26">
        <v>109035105</v>
      </c>
      <c r="U25" s="27">
        <f t="shared" si="8"/>
        <v>243711539</v>
      </c>
    </row>
    <row r="26" spans="1:98" ht="18" customHeight="1" x14ac:dyDescent="0.3">
      <c r="A26" s="11">
        <v>2001</v>
      </c>
      <c r="B26" s="12" t="s">
        <v>10</v>
      </c>
      <c r="C26" s="25">
        <v>2697375684</v>
      </c>
      <c r="D26" s="26">
        <f t="shared" si="5"/>
        <v>97724440</v>
      </c>
      <c r="E26" s="27">
        <f t="shared" si="6"/>
        <v>235977067</v>
      </c>
      <c r="F26" s="28">
        <v>21720561</v>
      </c>
      <c r="G26" s="26">
        <v>773484</v>
      </c>
      <c r="H26" s="28">
        <v>1893972</v>
      </c>
      <c r="I26" s="29">
        <v>11706671</v>
      </c>
      <c r="J26" s="26">
        <v>5063713</v>
      </c>
      <c r="K26" s="28">
        <v>12477823</v>
      </c>
      <c r="L26" s="26">
        <f>24901391+1596099</f>
        <v>26497490</v>
      </c>
      <c r="M26" s="26">
        <v>41978743</v>
      </c>
      <c r="N26" s="30">
        <f t="shared" si="7"/>
        <v>97724440</v>
      </c>
      <c r="O26" s="31">
        <v>467815162</v>
      </c>
      <c r="P26" s="32">
        <v>50805453</v>
      </c>
      <c r="Q26" s="26">
        <v>9108287</v>
      </c>
      <c r="R26" s="26">
        <v>7726363</v>
      </c>
      <c r="S26" s="26">
        <f>62920211+1901287</f>
        <v>64821498</v>
      </c>
      <c r="T26" s="26">
        <v>103515466</v>
      </c>
      <c r="U26" s="27">
        <f t="shared" si="8"/>
        <v>235977067</v>
      </c>
    </row>
    <row r="27" spans="1:98" ht="18" customHeight="1" x14ac:dyDescent="0.3">
      <c r="A27" s="11">
        <v>2001</v>
      </c>
      <c r="B27" s="12" t="s">
        <v>11</v>
      </c>
      <c r="C27" s="25">
        <v>2793375901</v>
      </c>
      <c r="D27" s="26">
        <f t="shared" si="5"/>
        <v>102928163</v>
      </c>
      <c r="E27" s="27">
        <f t="shared" si="6"/>
        <v>245298457</v>
      </c>
      <c r="F27" s="28">
        <v>22557785</v>
      </c>
      <c r="G27" s="26">
        <v>813924</v>
      </c>
      <c r="H27" s="28">
        <v>1971715</v>
      </c>
      <c r="I27" s="29">
        <v>12653274</v>
      </c>
      <c r="J27" s="26">
        <v>5251938</v>
      </c>
      <c r="K27" s="28">
        <v>8125367</v>
      </c>
      <c r="L27" s="26">
        <f>33991304-1159129</f>
        <v>32832175</v>
      </c>
      <c r="M27" s="26">
        <v>44065409</v>
      </c>
      <c r="N27" s="30">
        <f t="shared" si="7"/>
        <v>102928163</v>
      </c>
      <c r="O27" s="31">
        <v>503294157</v>
      </c>
      <c r="P27" s="32">
        <v>54722986</v>
      </c>
      <c r="Q27" s="26">
        <v>9801447</v>
      </c>
      <c r="R27" s="26">
        <v>7038173</v>
      </c>
      <c r="S27" s="26">
        <f>67384532-686752</f>
        <v>66697780</v>
      </c>
      <c r="T27" s="26">
        <v>107038071</v>
      </c>
      <c r="U27" s="27">
        <f t="shared" si="8"/>
        <v>245298457</v>
      </c>
    </row>
    <row r="28" spans="1:98" ht="18" customHeight="1" x14ac:dyDescent="0.3">
      <c r="A28" s="11">
        <v>2001</v>
      </c>
      <c r="B28" s="12" t="s">
        <v>12</v>
      </c>
      <c r="C28" s="25">
        <v>2705980782</v>
      </c>
      <c r="D28" s="26">
        <f t="shared" si="5"/>
        <v>101924857</v>
      </c>
      <c r="E28" s="27">
        <f t="shared" si="6"/>
        <v>238506233</v>
      </c>
      <c r="F28" s="28">
        <v>21695938</v>
      </c>
      <c r="G28" s="26">
        <v>780351</v>
      </c>
      <c r="H28" s="28">
        <v>1903668</v>
      </c>
      <c r="I28" s="29">
        <v>12389234</v>
      </c>
      <c r="J28" s="26">
        <v>5958841</v>
      </c>
      <c r="K28" s="28">
        <v>5971261</v>
      </c>
      <c r="L28" s="26">
        <f>34601641-40066</f>
        <v>34561575</v>
      </c>
      <c r="M28" s="26">
        <v>43043946</v>
      </c>
      <c r="N28" s="30">
        <f t="shared" si="7"/>
        <v>101924857</v>
      </c>
      <c r="O28" s="31">
        <v>479272525</v>
      </c>
      <c r="P28" s="32">
        <v>52123524</v>
      </c>
      <c r="Q28" s="26">
        <v>8345803</v>
      </c>
      <c r="R28" s="26">
        <v>5327945</v>
      </c>
      <c r="S28" s="26">
        <f>69092681-715672</f>
        <v>68377009</v>
      </c>
      <c r="T28" s="26">
        <v>104331952</v>
      </c>
      <c r="U28" s="27">
        <f t="shared" si="8"/>
        <v>238506233</v>
      </c>
    </row>
    <row r="29" spans="1:98" s="6" customFormat="1" ht="18" customHeight="1" thickBot="1" x14ac:dyDescent="0.35">
      <c r="A29" s="13">
        <v>2001</v>
      </c>
      <c r="B29" s="7" t="s">
        <v>13</v>
      </c>
      <c r="C29" s="41">
        <v>2804149943</v>
      </c>
      <c r="D29" s="42">
        <f t="shared" si="5"/>
        <v>107981107</v>
      </c>
      <c r="E29" s="43">
        <f t="shared" si="6"/>
        <v>247833776</v>
      </c>
      <c r="F29" s="44">
        <v>22191786</v>
      </c>
      <c r="G29" s="42">
        <v>799066</v>
      </c>
      <c r="H29" s="44">
        <v>1956385</v>
      </c>
      <c r="I29" s="45">
        <v>12284050</v>
      </c>
      <c r="J29" s="42">
        <v>6172229</v>
      </c>
      <c r="K29" s="44">
        <v>4677699</v>
      </c>
      <c r="L29" s="42">
        <f>38796920+1070724</f>
        <v>39867644</v>
      </c>
      <c r="M29" s="42">
        <v>44979485</v>
      </c>
      <c r="N29" s="46">
        <f t="shared" si="7"/>
        <v>107981107</v>
      </c>
      <c r="O29" s="47">
        <v>471104544</v>
      </c>
      <c r="P29" s="48">
        <v>51271793</v>
      </c>
      <c r="Q29" s="42">
        <v>8789832</v>
      </c>
      <c r="R29" s="42">
        <v>4215686</v>
      </c>
      <c r="S29" s="42">
        <f>73508370+671933</f>
        <v>74180303</v>
      </c>
      <c r="T29" s="42">
        <v>109376162</v>
      </c>
      <c r="U29" s="43">
        <f t="shared" si="8"/>
        <v>247833776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</row>
    <row r="30" spans="1:98" s="22" customFormat="1" ht="18" customHeight="1" thickTop="1" thickBot="1" x14ac:dyDescent="0.35">
      <c r="A30" s="18">
        <v>2001</v>
      </c>
      <c r="B30" s="19" t="s">
        <v>14</v>
      </c>
      <c r="C30" s="49">
        <f t="shared" ref="C30:U30" si="9">SUM(C18:C29)</f>
        <v>33078120133</v>
      </c>
      <c r="D30" s="50">
        <f t="shared" si="9"/>
        <v>1217715784</v>
      </c>
      <c r="E30" s="51">
        <f t="shared" si="9"/>
        <v>2894991812</v>
      </c>
      <c r="F30" s="52">
        <f t="shared" si="9"/>
        <v>264999649</v>
      </c>
      <c r="G30" s="50">
        <f t="shared" si="9"/>
        <v>9530686</v>
      </c>
      <c r="H30" s="52">
        <f t="shared" si="9"/>
        <v>23106947</v>
      </c>
      <c r="I30" s="53">
        <f t="shared" si="9"/>
        <v>145358632</v>
      </c>
      <c r="J30" s="50">
        <f t="shared" si="9"/>
        <v>63274247</v>
      </c>
      <c r="K30" s="52">
        <f t="shared" si="9"/>
        <v>126854361</v>
      </c>
      <c r="L30" s="50">
        <f t="shared" si="9"/>
        <v>369661393</v>
      </c>
      <c r="M30" s="50">
        <f t="shared" si="9"/>
        <v>512567151</v>
      </c>
      <c r="N30" s="54">
        <f t="shared" si="9"/>
        <v>1217715784</v>
      </c>
      <c r="O30" s="55">
        <f t="shared" si="9"/>
        <v>5691244236</v>
      </c>
      <c r="P30" s="56">
        <f t="shared" si="9"/>
        <v>617076200</v>
      </c>
      <c r="Q30" s="50">
        <f t="shared" si="9"/>
        <v>110026229</v>
      </c>
      <c r="R30" s="50">
        <f t="shared" si="9"/>
        <v>88958625</v>
      </c>
      <c r="S30" s="50">
        <f t="shared" si="9"/>
        <v>805122717</v>
      </c>
      <c r="T30" s="50">
        <f t="shared" si="9"/>
        <v>1273808041</v>
      </c>
      <c r="U30" s="51">
        <f t="shared" si="9"/>
        <v>2894991812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ht="18" customHeight="1" thickTop="1" x14ac:dyDescent="0.3">
      <c r="A31" s="11">
        <v>2002</v>
      </c>
      <c r="B31" s="12" t="s">
        <v>2</v>
      </c>
      <c r="C31" s="25">
        <v>2839729632</v>
      </c>
      <c r="D31" s="26">
        <f t="shared" ref="D31:D42" si="10">+N31</f>
        <v>109179005</v>
      </c>
      <c r="E31" s="27">
        <f t="shared" ref="E31:E42" si="11">+U31</f>
        <v>250017643</v>
      </c>
      <c r="F31" s="28">
        <v>22290967</v>
      </c>
      <c r="G31" s="26">
        <v>807810</v>
      </c>
      <c r="H31" s="28">
        <v>1957006</v>
      </c>
      <c r="I31" s="29">
        <v>12633642</v>
      </c>
      <c r="J31" s="26">
        <v>4514013</v>
      </c>
      <c r="K31" s="28">
        <v>8309419</v>
      </c>
      <c r="L31" s="26">
        <f>39139787-1090141</f>
        <v>38049646</v>
      </c>
      <c r="M31" s="26">
        <v>45672285</v>
      </c>
      <c r="N31" s="30">
        <f t="shared" ref="N31:N42" si="12">SUM(I31:M31)</f>
        <v>109179005</v>
      </c>
      <c r="O31" s="31">
        <v>492117847</v>
      </c>
      <c r="P31" s="32">
        <v>53628110</v>
      </c>
      <c r="Q31" s="26">
        <v>8517818</v>
      </c>
      <c r="R31" s="26">
        <v>6979717</v>
      </c>
      <c r="S31" s="26">
        <f>69364639-579443</f>
        <v>68785196</v>
      </c>
      <c r="T31" s="26">
        <v>112106802</v>
      </c>
      <c r="U31" s="27">
        <f t="shared" ref="U31:U42" si="13">SUM(P31:T31)</f>
        <v>250017643</v>
      </c>
    </row>
    <row r="32" spans="1:98" ht="18" customHeight="1" x14ac:dyDescent="0.3">
      <c r="A32" s="11">
        <v>2002</v>
      </c>
      <c r="B32" s="12" t="s">
        <v>3</v>
      </c>
      <c r="C32" s="25">
        <v>2640241714</v>
      </c>
      <c r="D32" s="26">
        <f t="shared" si="10"/>
        <v>100022932</v>
      </c>
      <c r="E32" s="27">
        <f t="shared" si="11"/>
        <v>232070512</v>
      </c>
      <c r="F32" s="28">
        <v>20249188</v>
      </c>
      <c r="G32" s="26">
        <v>728015</v>
      </c>
      <c r="H32" s="28">
        <v>1776785</v>
      </c>
      <c r="I32" s="29">
        <v>11500912</v>
      </c>
      <c r="J32" s="26">
        <v>4331923</v>
      </c>
      <c r="K32" s="28">
        <v>8495998</v>
      </c>
      <c r="L32" s="26">
        <f>35565947+43769</f>
        <v>35609716</v>
      </c>
      <c r="M32" s="26">
        <v>40084383</v>
      </c>
      <c r="N32" s="30">
        <f t="shared" si="12"/>
        <v>100022932</v>
      </c>
      <c r="O32" s="31">
        <v>448349485</v>
      </c>
      <c r="P32" s="32">
        <v>48737825</v>
      </c>
      <c r="Q32" s="26">
        <v>8359238</v>
      </c>
      <c r="R32" s="26">
        <v>7339041</v>
      </c>
      <c r="S32" s="26">
        <f>63712041+265002</f>
        <v>63977043</v>
      </c>
      <c r="T32" s="26">
        <v>103657365</v>
      </c>
      <c r="U32" s="27">
        <f t="shared" si="13"/>
        <v>232070512</v>
      </c>
    </row>
    <row r="33" spans="1:98" ht="18" customHeight="1" x14ac:dyDescent="0.3">
      <c r="A33" s="11">
        <v>2002</v>
      </c>
      <c r="B33" s="12" t="s">
        <v>4</v>
      </c>
      <c r="C33" s="25">
        <v>2997314674</v>
      </c>
      <c r="D33" s="26">
        <f t="shared" si="10"/>
        <v>111422576</v>
      </c>
      <c r="E33" s="27">
        <f t="shared" si="11"/>
        <v>261765855</v>
      </c>
      <c r="F33" s="28">
        <v>22383467</v>
      </c>
      <c r="G33" s="26">
        <v>808531</v>
      </c>
      <c r="H33" s="28">
        <v>1957927</v>
      </c>
      <c r="I33" s="29">
        <v>12413747</v>
      </c>
      <c r="J33" s="26">
        <v>4941406</v>
      </c>
      <c r="K33" s="28">
        <v>9827789</v>
      </c>
      <c r="L33" s="26">
        <f>38639564+1253235</f>
        <v>39892799</v>
      </c>
      <c r="M33" s="26">
        <v>44346835</v>
      </c>
      <c r="N33" s="30">
        <f t="shared" si="12"/>
        <v>111422576</v>
      </c>
      <c r="O33" s="31">
        <v>482164745</v>
      </c>
      <c r="P33" s="32">
        <v>52721752</v>
      </c>
      <c r="Q33" s="26">
        <v>9185308</v>
      </c>
      <c r="R33" s="26">
        <v>8785348</v>
      </c>
      <c r="S33" s="26">
        <v>76755898</v>
      </c>
      <c r="T33" s="26">
        <v>114317549</v>
      </c>
      <c r="U33" s="27">
        <f t="shared" si="13"/>
        <v>261765855</v>
      </c>
    </row>
    <row r="34" spans="1:98" ht="18" customHeight="1" x14ac:dyDescent="0.3">
      <c r="A34" s="11">
        <v>2002</v>
      </c>
      <c r="B34" s="12" t="s">
        <v>5</v>
      </c>
      <c r="C34" s="25">
        <v>2942796972</v>
      </c>
      <c r="D34" s="26">
        <f t="shared" si="10"/>
        <v>107489662</v>
      </c>
      <c r="E34" s="27">
        <f t="shared" si="11"/>
        <v>257305123</v>
      </c>
      <c r="F34" s="28">
        <v>21471433</v>
      </c>
      <c r="G34" s="26">
        <v>779321</v>
      </c>
      <c r="H34" s="28">
        <v>1883996</v>
      </c>
      <c r="I34" s="29">
        <v>12225607</v>
      </c>
      <c r="J34" s="26">
        <v>4906401</v>
      </c>
      <c r="K34" s="28">
        <v>9956238</v>
      </c>
      <c r="L34" s="26">
        <f>37961251-736340</f>
        <v>37224911</v>
      </c>
      <c r="M34" s="26">
        <v>43176505</v>
      </c>
      <c r="N34" s="30">
        <f t="shared" si="12"/>
        <v>107489662</v>
      </c>
      <c r="O34" s="31">
        <v>477642105</v>
      </c>
      <c r="P34" s="32">
        <v>52099925</v>
      </c>
      <c r="Q34" s="26">
        <v>8462797</v>
      </c>
      <c r="R34" s="26">
        <v>9272978</v>
      </c>
      <c r="S34" s="26">
        <f>76253153-730789</f>
        <v>75522364</v>
      </c>
      <c r="T34" s="26">
        <v>111947059</v>
      </c>
      <c r="U34" s="27">
        <f t="shared" si="13"/>
        <v>257305123</v>
      </c>
    </row>
    <row r="35" spans="1:98" ht="18" customHeight="1" x14ac:dyDescent="0.3">
      <c r="A35" s="11">
        <v>2002</v>
      </c>
      <c r="B35" s="12" t="s">
        <v>6</v>
      </c>
      <c r="C35" s="25">
        <v>3087522343</v>
      </c>
      <c r="D35" s="26">
        <f t="shared" si="10"/>
        <v>112675600</v>
      </c>
      <c r="E35" s="27">
        <f t="shared" si="11"/>
        <v>270041618</v>
      </c>
      <c r="F35" s="28">
        <v>22413864</v>
      </c>
      <c r="G35" s="26">
        <v>808435</v>
      </c>
      <c r="H35" s="28">
        <v>1957188</v>
      </c>
      <c r="I35" s="29">
        <v>12758388</v>
      </c>
      <c r="J35" s="26">
        <v>5550055</v>
      </c>
      <c r="K35" s="28">
        <v>9720104</v>
      </c>
      <c r="L35" s="26">
        <v>39065652</v>
      </c>
      <c r="M35" s="26">
        <v>45581401</v>
      </c>
      <c r="N35" s="30">
        <f t="shared" si="12"/>
        <v>112675600</v>
      </c>
      <c r="O35" s="31">
        <v>496863754</v>
      </c>
      <c r="P35" s="32">
        <v>54188255</v>
      </c>
      <c r="Q35" s="26">
        <v>8786891</v>
      </c>
      <c r="R35" s="26">
        <v>9179538</v>
      </c>
      <c r="S35" s="26">
        <f>81713435-546860</f>
        <v>81166575</v>
      </c>
      <c r="T35" s="26">
        <v>116720359</v>
      </c>
      <c r="U35" s="27">
        <f t="shared" si="13"/>
        <v>270041618</v>
      </c>
    </row>
    <row r="36" spans="1:98" ht="18" customHeight="1" x14ac:dyDescent="0.3">
      <c r="A36" s="11">
        <v>2002</v>
      </c>
      <c r="B36" s="12" t="s">
        <v>7</v>
      </c>
      <c r="C36" s="25">
        <v>2974715209</v>
      </c>
      <c r="D36" s="26">
        <f t="shared" si="10"/>
        <v>106268099</v>
      </c>
      <c r="E36" s="27">
        <f t="shared" si="11"/>
        <v>259053085</v>
      </c>
      <c r="F36" s="28">
        <v>21702295</v>
      </c>
      <c r="G36" s="26">
        <v>779149</v>
      </c>
      <c r="H36" s="28">
        <v>1885699</v>
      </c>
      <c r="I36" s="29">
        <v>11700005</v>
      </c>
      <c r="J36" s="26">
        <v>5075034</v>
      </c>
      <c r="K36" s="28">
        <v>9639198</v>
      </c>
      <c r="L36" s="26">
        <f>34868908+943957</f>
        <v>35812865</v>
      </c>
      <c r="M36" s="26">
        <v>44040997</v>
      </c>
      <c r="N36" s="30">
        <f t="shared" si="12"/>
        <v>106268099</v>
      </c>
      <c r="O36" s="31">
        <v>445158683</v>
      </c>
      <c r="P36" s="32">
        <v>48677415</v>
      </c>
      <c r="Q36" s="26">
        <v>8545092</v>
      </c>
      <c r="R36" s="26">
        <v>9069275</v>
      </c>
      <c r="S36" s="26">
        <f>78465416+1132099</f>
        <v>79597515</v>
      </c>
      <c r="T36" s="26">
        <v>113163788</v>
      </c>
      <c r="U36" s="27">
        <f t="shared" si="13"/>
        <v>259053085</v>
      </c>
    </row>
    <row r="37" spans="1:98" ht="18" customHeight="1" x14ac:dyDescent="0.3">
      <c r="A37" s="11">
        <v>2002</v>
      </c>
      <c r="B37" s="12" t="s">
        <v>8</v>
      </c>
      <c r="C37" s="25">
        <v>2987091988</v>
      </c>
      <c r="D37" s="26">
        <f t="shared" si="10"/>
        <v>106075022</v>
      </c>
      <c r="E37" s="27">
        <f t="shared" si="11"/>
        <v>259166950</v>
      </c>
      <c r="F37" s="28">
        <v>22042203</v>
      </c>
      <c r="G37" s="26">
        <v>774053</v>
      </c>
      <c r="H37" s="28">
        <v>1900888</v>
      </c>
      <c r="I37" s="29">
        <v>12676237</v>
      </c>
      <c r="J37" s="26">
        <v>5246583</v>
      </c>
      <c r="K37" s="28">
        <v>9044842</v>
      </c>
      <c r="L37" s="26">
        <f>34892393-767971</f>
        <v>34124422</v>
      </c>
      <c r="M37" s="26">
        <v>44982938</v>
      </c>
      <c r="N37" s="30">
        <f t="shared" si="12"/>
        <v>106075022</v>
      </c>
      <c r="O37" s="31">
        <v>474083529</v>
      </c>
      <c r="P37" s="32">
        <v>51637563</v>
      </c>
      <c r="Q37" s="26">
        <v>9324269</v>
      </c>
      <c r="R37" s="26">
        <v>8434971</v>
      </c>
      <c r="S37" s="26">
        <f>75016011-1068986</f>
        <v>73947025</v>
      </c>
      <c r="T37" s="26">
        <v>115823122</v>
      </c>
      <c r="U37" s="27">
        <f t="shared" si="13"/>
        <v>259166950</v>
      </c>
    </row>
    <row r="38" spans="1:98" ht="18" customHeight="1" x14ac:dyDescent="0.3">
      <c r="A38" s="11">
        <v>2002</v>
      </c>
      <c r="B38" s="12" t="s">
        <v>9</v>
      </c>
      <c r="C38" s="25">
        <v>3003014581</v>
      </c>
      <c r="D38" s="26">
        <f t="shared" si="10"/>
        <v>107355855</v>
      </c>
      <c r="E38" s="27">
        <f t="shared" si="11"/>
        <v>261066923</v>
      </c>
      <c r="F38" s="28">
        <v>22400894</v>
      </c>
      <c r="G38" s="26">
        <v>784141</v>
      </c>
      <c r="H38" s="28">
        <v>1937994</v>
      </c>
      <c r="I38" s="29">
        <v>12717207</v>
      </c>
      <c r="J38" s="26">
        <v>5060967</v>
      </c>
      <c r="K38" s="28">
        <v>8993131</v>
      </c>
      <c r="L38" s="26">
        <f>33239611+597381</f>
        <v>33836992</v>
      </c>
      <c r="M38" s="26">
        <v>46747558</v>
      </c>
      <c r="N38" s="30">
        <f t="shared" si="12"/>
        <v>107355855</v>
      </c>
      <c r="O38" s="31">
        <v>479780545</v>
      </c>
      <c r="P38" s="32">
        <v>52242374</v>
      </c>
      <c r="Q38" s="26">
        <v>8702758</v>
      </c>
      <c r="R38" s="26">
        <v>8364594</v>
      </c>
      <c r="S38" s="26">
        <f>73321699-277425</f>
        <v>73044274</v>
      </c>
      <c r="T38" s="26">
        <v>118712923</v>
      </c>
      <c r="U38" s="27">
        <f t="shared" si="13"/>
        <v>261066923</v>
      </c>
    </row>
    <row r="39" spans="1:98" ht="18" customHeight="1" x14ac:dyDescent="0.3">
      <c r="A39" s="11">
        <v>2002</v>
      </c>
      <c r="B39" s="12" t="s">
        <v>10</v>
      </c>
      <c r="C39" s="25">
        <v>2842802563</v>
      </c>
      <c r="D39" s="26">
        <f t="shared" si="10"/>
        <v>102978258</v>
      </c>
      <c r="E39" s="27">
        <f t="shared" si="11"/>
        <v>247581569</v>
      </c>
      <c r="F39" s="28">
        <v>20532624</v>
      </c>
      <c r="G39" s="26">
        <v>727295</v>
      </c>
      <c r="H39" s="28">
        <v>1782089</v>
      </c>
      <c r="I39" s="29">
        <v>12579278</v>
      </c>
      <c r="J39" s="26">
        <v>4999168</v>
      </c>
      <c r="K39" s="28">
        <v>8113788</v>
      </c>
      <c r="L39" s="26">
        <f>31236722-660666</f>
        <v>30576056</v>
      </c>
      <c r="M39" s="26">
        <v>46709968</v>
      </c>
      <c r="N39" s="30">
        <f t="shared" si="12"/>
        <v>102978258</v>
      </c>
      <c r="O39" s="31">
        <v>485379451</v>
      </c>
      <c r="P39" s="32">
        <v>53024503</v>
      </c>
      <c r="Q39" s="26">
        <v>9709182</v>
      </c>
      <c r="R39" s="26">
        <v>7577785</v>
      </c>
      <c r="S39" s="26">
        <f>64493576-576439</f>
        <v>63917137</v>
      </c>
      <c r="T39" s="26">
        <v>113352962</v>
      </c>
      <c r="U39" s="27">
        <f t="shared" si="13"/>
        <v>247581569</v>
      </c>
    </row>
    <row r="40" spans="1:98" ht="18" customHeight="1" x14ac:dyDescent="0.3">
      <c r="A40" s="11">
        <v>2002</v>
      </c>
      <c r="B40" s="12" t="s">
        <v>11</v>
      </c>
      <c r="C40" s="25">
        <v>2912827154</v>
      </c>
      <c r="D40" s="26">
        <f t="shared" si="10"/>
        <v>107599864</v>
      </c>
      <c r="E40" s="27">
        <f t="shared" si="11"/>
        <v>254861958</v>
      </c>
      <c r="F40" s="28">
        <v>22037581</v>
      </c>
      <c r="G40" s="26">
        <v>786898</v>
      </c>
      <c r="H40" s="28">
        <v>1925620</v>
      </c>
      <c r="I40" s="29">
        <v>13171551</v>
      </c>
      <c r="J40" s="26">
        <v>6064405</v>
      </c>
      <c r="K40" s="28">
        <v>8099791</v>
      </c>
      <c r="L40" s="26">
        <f>33558891+223057</f>
        <v>33781948</v>
      </c>
      <c r="M40" s="26">
        <v>46482169</v>
      </c>
      <c r="N40" s="30">
        <f t="shared" si="12"/>
        <v>107599864</v>
      </c>
      <c r="O40" s="31">
        <v>506871609</v>
      </c>
      <c r="P40" s="32">
        <v>55214989</v>
      </c>
      <c r="Q40" s="26">
        <v>9977473</v>
      </c>
      <c r="R40" s="26">
        <v>6753063</v>
      </c>
      <c r="S40" s="26">
        <f>68802251+537638</f>
        <v>69339889</v>
      </c>
      <c r="T40" s="26">
        <v>113576544</v>
      </c>
      <c r="U40" s="27">
        <f t="shared" si="13"/>
        <v>254861958</v>
      </c>
    </row>
    <row r="41" spans="1:98" ht="18" customHeight="1" x14ac:dyDescent="0.3">
      <c r="A41" s="11">
        <v>2002</v>
      </c>
      <c r="B41" s="12" t="s">
        <v>12</v>
      </c>
      <c r="C41" s="25">
        <v>2828328113</v>
      </c>
      <c r="D41" s="26">
        <f t="shared" si="10"/>
        <v>106683554</v>
      </c>
      <c r="E41" s="27">
        <f t="shared" si="11"/>
        <v>248727443</v>
      </c>
      <c r="F41" s="28">
        <v>21550864</v>
      </c>
      <c r="G41" s="26">
        <v>780242</v>
      </c>
      <c r="H41" s="28">
        <v>1889116</v>
      </c>
      <c r="I41" s="29">
        <v>12441493</v>
      </c>
      <c r="J41" s="26">
        <v>6891968</v>
      </c>
      <c r="K41" s="28">
        <v>6763307</v>
      </c>
      <c r="L41" s="26">
        <f>32547508+199274</f>
        <v>32746782</v>
      </c>
      <c r="M41" s="26">
        <v>47840004</v>
      </c>
      <c r="N41" s="30">
        <f t="shared" si="12"/>
        <v>106683554</v>
      </c>
      <c r="O41" s="31">
        <v>475938115</v>
      </c>
      <c r="P41" s="32">
        <v>52043206</v>
      </c>
      <c r="Q41" s="26">
        <v>9505207</v>
      </c>
      <c r="R41" s="26">
        <v>5736946</v>
      </c>
      <c r="S41" s="26">
        <f>64030201+688507</f>
        <v>64718708</v>
      </c>
      <c r="T41" s="26">
        <v>116723376</v>
      </c>
      <c r="U41" s="27">
        <f t="shared" si="13"/>
        <v>248727443</v>
      </c>
    </row>
    <row r="42" spans="1:98" s="6" customFormat="1" ht="18" customHeight="1" thickBot="1" x14ac:dyDescent="0.35">
      <c r="A42" s="11">
        <v>2002</v>
      </c>
      <c r="B42" s="12" t="s">
        <v>13</v>
      </c>
      <c r="C42" s="25">
        <v>2952216042</v>
      </c>
      <c r="D42" s="26">
        <f t="shared" si="10"/>
        <v>111693858</v>
      </c>
      <c r="E42" s="27">
        <f t="shared" si="11"/>
        <v>259506130</v>
      </c>
      <c r="F42" s="28">
        <v>22218472</v>
      </c>
      <c r="G42" s="26">
        <v>806473</v>
      </c>
      <c r="H42" s="28">
        <v>1948495</v>
      </c>
      <c r="I42" s="29">
        <v>12809385</v>
      </c>
      <c r="J42" s="26">
        <v>6680003</v>
      </c>
      <c r="K42" s="28">
        <v>6079607</v>
      </c>
      <c r="L42" s="26">
        <f>37678013+686687</f>
        <v>38364700</v>
      </c>
      <c r="M42" s="26">
        <v>47760163</v>
      </c>
      <c r="N42" s="30">
        <f t="shared" si="12"/>
        <v>111693858</v>
      </c>
      <c r="O42" s="31">
        <v>482915662</v>
      </c>
      <c r="P42" s="32">
        <v>52742124</v>
      </c>
      <c r="Q42" s="26">
        <v>9897030</v>
      </c>
      <c r="R42" s="26">
        <v>4941522</v>
      </c>
      <c r="S42" s="26">
        <f>74567138-261831</f>
        <v>74305307</v>
      </c>
      <c r="T42" s="26">
        <v>117620147</v>
      </c>
      <c r="U42" s="27">
        <f t="shared" si="13"/>
        <v>259506130</v>
      </c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</row>
    <row r="43" spans="1:98" s="22" customFormat="1" ht="18" customHeight="1" thickTop="1" thickBot="1" x14ac:dyDescent="0.35">
      <c r="A43" s="20">
        <v>2002</v>
      </c>
      <c r="B43" s="21" t="s">
        <v>14</v>
      </c>
      <c r="C43" s="33">
        <f t="shared" ref="C43:U43" si="14">SUM(C31:C42)</f>
        <v>35008600985</v>
      </c>
      <c r="D43" s="34">
        <f t="shared" si="14"/>
        <v>1289444285</v>
      </c>
      <c r="E43" s="35">
        <f t="shared" si="14"/>
        <v>3061164809</v>
      </c>
      <c r="F43" s="36">
        <f t="shared" si="14"/>
        <v>261293852</v>
      </c>
      <c r="G43" s="34">
        <f t="shared" si="14"/>
        <v>9370363</v>
      </c>
      <c r="H43" s="36">
        <f t="shared" si="14"/>
        <v>22802803</v>
      </c>
      <c r="I43" s="37">
        <f t="shared" si="14"/>
        <v>149627452</v>
      </c>
      <c r="J43" s="34">
        <f t="shared" si="14"/>
        <v>64261926</v>
      </c>
      <c r="K43" s="36">
        <f t="shared" si="14"/>
        <v>103043212</v>
      </c>
      <c r="L43" s="34">
        <f t="shared" si="14"/>
        <v>429086489</v>
      </c>
      <c r="M43" s="34">
        <f t="shared" si="14"/>
        <v>543425206</v>
      </c>
      <c r="N43" s="38">
        <f t="shared" si="14"/>
        <v>1289444285</v>
      </c>
      <c r="O43" s="39">
        <f t="shared" si="14"/>
        <v>5747265530</v>
      </c>
      <c r="P43" s="40">
        <f t="shared" si="14"/>
        <v>626958041</v>
      </c>
      <c r="Q43" s="34">
        <f t="shared" si="14"/>
        <v>108973063</v>
      </c>
      <c r="R43" s="34">
        <f t="shared" si="14"/>
        <v>92434778</v>
      </c>
      <c r="S43" s="34">
        <f t="shared" si="14"/>
        <v>865076931</v>
      </c>
      <c r="T43" s="34">
        <f t="shared" si="14"/>
        <v>1367721996</v>
      </c>
      <c r="U43" s="35">
        <f t="shared" si="14"/>
        <v>3061164809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ht="18" customHeight="1" thickTop="1" x14ac:dyDescent="0.3">
      <c r="A44" s="11">
        <v>2003</v>
      </c>
      <c r="B44" s="12" t="s">
        <v>2</v>
      </c>
      <c r="C44" s="25">
        <v>2992977798</v>
      </c>
      <c r="D44" s="26">
        <f t="shared" ref="D44:D55" si="15">+N44</f>
        <v>112913352</v>
      </c>
      <c r="E44" s="27">
        <f t="shared" ref="E44:E55" si="16">+U44</f>
        <v>261893456</v>
      </c>
      <c r="F44" s="28">
        <v>22350226</v>
      </c>
      <c r="G44" s="26">
        <v>792992</v>
      </c>
      <c r="H44" s="28">
        <v>1954885</v>
      </c>
      <c r="I44" s="29">
        <v>12763126</v>
      </c>
      <c r="J44" s="26">
        <v>5544624</v>
      </c>
      <c r="K44" s="28">
        <v>8700890</v>
      </c>
      <c r="L44" s="26">
        <f>39803245-810443</f>
        <v>38992802</v>
      </c>
      <c r="M44" s="26">
        <v>46911910</v>
      </c>
      <c r="N44" s="30">
        <f t="shared" ref="N44:N55" si="17">SUM(I44:M44)</f>
        <v>112913352</v>
      </c>
      <c r="O44" s="31">
        <v>496337653</v>
      </c>
      <c r="P44" s="32">
        <v>54138263</v>
      </c>
      <c r="Q44" s="26">
        <v>9884728</v>
      </c>
      <c r="R44" s="26">
        <v>7213685</v>
      </c>
      <c r="S44" s="26">
        <f>75245408-141285</f>
        <v>75104123</v>
      </c>
      <c r="T44" s="26">
        <v>115552657</v>
      </c>
      <c r="U44" s="27">
        <f t="shared" ref="U44:U55" si="18">SUM(P44:T44)</f>
        <v>261893456</v>
      </c>
    </row>
    <row r="45" spans="1:98" ht="18" customHeight="1" x14ac:dyDescent="0.3">
      <c r="A45" s="11">
        <v>2003</v>
      </c>
      <c r="B45" s="12" t="s">
        <v>3</v>
      </c>
      <c r="C45" s="25">
        <v>2765978184</v>
      </c>
      <c r="D45" s="26">
        <f t="shared" si="15"/>
        <v>102055981</v>
      </c>
      <c r="E45" s="27">
        <f t="shared" si="16"/>
        <v>242025312</v>
      </c>
      <c r="F45" s="28">
        <v>20075360</v>
      </c>
      <c r="G45" s="26">
        <v>724535</v>
      </c>
      <c r="H45" s="28">
        <v>1753692</v>
      </c>
      <c r="I45" s="29">
        <v>11520974</v>
      </c>
      <c r="J45" s="26">
        <v>4887829</v>
      </c>
      <c r="K45" s="28">
        <v>8019834</v>
      </c>
      <c r="L45" s="26">
        <f>35851456-671187</f>
        <v>35180269</v>
      </c>
      <c r="M45" s="26">
        <v>42447075</v>
      </c>
      <c r="N45" s="30">
        <f t="shared" si="17"/>
        <v>102055981</v>
      </c>
      <c r="O45" s="31">
        <v>446989990</v>
      </c>
      <c r="P45" s="32">
        <v>48760107</v>
      </c>
      <c r="Q45" s="26">
        <v>9342216</v>
      </c>
      <c r="R45" s="26">
        <v>7140168</v>
      </c>
      <c r="S45" s="26">
        <f>70024813-10795</f>
        <v>70014018</v>
      </c>
      <c r="T45" s="26">
        <v>106768803</v>
      </c>
      <c r="U45" s="27">
        <f t="shared" si="18"/>
        <v>242025312</v>
      </c>
    </row>
    <row r="46" spans="1:98" ht="18" customHeight="1" x14ac:dyDescent="0.3">
      <c r="A46" s="11">
        <v>2003</v>
      </c>
      <c r="B46" s="12" t="s">
        <v>4</v>
      </c>
      <c r="C46" s="25">
        <v>3100064441</v>
      </c>
      <c r="D46" s="26">
        <f t="shared" si="15"/>
        <v>114884578</v>
      </c>
      <c r="E46" s="27">
        <f t="shared" si="16"/>
        <v>270609813</v>
      </c>
      <c r="F46" s="28">
        <v>22320369</v>
      </c>
      <c r="G46" s="26">
        <v>807203</v>
      </c>
      <c r="H46" s="28">
        <v>1949422</v>
      </c>
      <c r="I46" s="29">
        <v>12809252</v>
      </c>
      <c r="J46" s="26">
        <v>5419791</v>
      </c>
      <c r="K46" s="28">
        <v>8588451</v>
      </c>
      <c r="L46" s="26">
        <f>39106599+1122439</f>
        <v>40229038</v>
      </c>
      <c r="M46" s="26">
        <v>47838046</v>
      </c>
      <c r="N46" s="30">
        <f t="shared" si="17"/>
        <v>114884578</v>
      </c>
      <c r="O46" s="31">
        <v>492424949</v>
      </c>
      <c r="P46" s="32">
        <v>53793795</v>
      </c>
      <c r="Q46" s="26">
        <v>9813005</v>
      </c>
      <c r="R46" s="26">
        <v>7620943</v>
      </c>
      <c r="S46" s="26">
        <f>78410217+826280</f>
        <v>79236497</v>
      </c>
      <c r="T46" s="26">
        <v>120145573</v>
      </c>
      <c r="U46" s="27">
        <f t="shared" si="18"/>
        <v>270609813</v>
      </c>
    </row>
    <row r="47" spans="1:98" ht="18" customHeight="1" x14ac:dyDescent="0.3">
      <c r="A47" s="11">
        <v>2003</v>
      </c>
      <c r="B47" s="12" t="s">
        <v>5</v>
      </c>
      <c r="C47" s="25">
        <v>3023969278</v>
      </c>
      <c r="D47" s="26">
        <f t="shared" si="15"/>
        <v>110851647</v>
      </c>
      <c r="E47" s="27">
        <f t="shared" si="16"/>
        <v>264113116</v>
      </c>
      <c r="F47" s="28">
        <v>21404290</v>
      </c>
      <c r="G47" s="26">
        <v>758232</v>
      </c>
      <c r="H47" s="28">
        <v>1868409</v>
      </c>
      <c r="I47" s="29">
        <v>12368763</v>
      </c>
      <c r="J47" s="26">
        <v>5474060</v>
      </c>
      <c r="K47" s="28">
        <v>9659623</v>
      </c>
      <c r="L47" s="26">
        <f>38118979-1194237</f>
        <v>36924742</v>
      </c>
      <c r="M47" s="26">
        <v>46424459</v>
      </c>
      <c r="N47" s="30">
        <f t="shared" si="17"/>
        <v>110851647</v>
      </c>
      <c r="O47" s="31">
        <v>473170197</v>
      </c>
      <c r="P47" s="32">
        <v>45850621</v>
      </c>
      <c r="Q47" s="26">
        <v>15234948</v>
      </c>
      <c r="R47" s="26">
        <v>8070721</v>
      </c>
      <c r="S47" s="26">
        <f>78001191-605542</f>
        <v>77395649</v>
      </c>
      <c r="T47" s="26">
        <v>117561177</v>
      </c>
      <c r="U47" s="27">
        <f t="shared" si="18"/>
        <v>264113116</v>
      </c>
    </row>
    <row r="48" spans="1:98" ht="18" customHeight="1" x14ac:dyDescent="0.3">
      <c r="A48" s="11">
        <v>2003</v>
      </c>
      <c r="B48" s="12" t="s">
        <v>6</v>
      </c>
      <c r="C48" s="25">
        <v>3093203393</v>
      </c>
      <c r="D48" s="26">
        <f t="shared" si="15"/>
        <v>112215828</v>
      </c>
      <c r="E48" s="27">
        <f t="shared" si="16"/>
        <v>269472804</v>
      </c>
      <c r="F48" s="28">
        <v>22053331</v>
      </c>
      <c r="G48" s="26">
        <v>775520</v>
      </c>
      <c r="H48" s="28">
        <v>1917462</v>
      </c>
      <c r="I48" s="29">
        <v>12672548</v>
      </c>
      <c r="J48" s="26">
        <v>5381367</v>
      </c>
      <c r="K48" s="28">
        <v>9728526</v>
      </c>
      <c r="L48" s="26">
        <f>35775552-83306</f>
        <v>35692246</v>
      </c>
      <c r="M48" s="26">
        <v>48741141</v>
      </c>
      <c r="N48" s="30">
        <f t="shared" si="17"/>
        <v>112215828</v>
      </c>
      <c r="O48" s="31">
        <v>484732896</v>
      </c>
      <c r="P48" s="32">
        <v>52856527</v>
      </c>
      <c r="Q48" s="26">
        <v>9548500</v>
      </c>
      <c r="R48" s="26">
        <v>8009825</v>
      </c>
      <c r="S48" s="26">
        <f>75912284+515943</f>
        <v>76428227</v>
      </c>
      <c r="T48" s="26">
        <v>122629725</v>
      </c>
      <c r="U48" s="27">
        <f t="shared" si="18"/>
        <v>269472804</v>
      </c>
    </row>
    <row r="49" spans="1:98" ht="18" customHeight="1" x14ac:dyDescent="0.3">
      <c r="A49" s="11">
        <v>2003</v>
      </c>
      <c r="B49" s="12" t="s">
        <v>7</v>
      </c>
      <c r="C49" s="25">
        <v>2978529943</v>
      </c>
      <c r="D49" s="26">
        <f t="shared" si="15"/>
        <v>105441139</v>
      </c>
      <c r="E49" s="27">
        <f t="shared" si="16"/>
        <v>258416156</v>
      </c>
      <c r="F49" s="28">
        <v>21734820</v>
      </c>
      <c r="G49" s="26">
        <v>772250</v>
      </c>
      <c r="H49" s="28">
        <v>1876770</v>
      </c>
      <c r="I49" s="29">
        <v>12324097</v>
      </c>
      <c r="J49" s="26">
        <v>5402952</v>
      </c>
      <c r="K49" s="28">
        <v>11216045</v>
      </c>
      <c r="L49" s="26">
        <f>27748119-207668</f>
        <v>27540451</v>
      </c>
      <c r="M49" s="26">
        <v>48957594</v>
      </c>
      <c r="N49" s="30">
        <f t="shared" si="17"/>
        <v>105441139</v>
      </c>
      <c r="O49" s="31">
        <v>460377368</v>
      </c>
      <c r="P49" s="32">
        <v>50117264</v>
      </c>
      <c r="Q49" s="26">
        <v>9280047</v>
      </c>
      <c r="R49" s="26">
        <v>8784173</v>
      </c>
      <c r="S49" s="26">
        <f>67635059-641573</f>
        <v>66993486</v>
      </c>
      <c r="T49" s="26">
        <v>123241186</v>
      </c>
      <c r="U49" s="27">
        <f t="shared" si="18"/>
        <v>258416156</v>
      </c>
    </row>
    <row r="50" spans="1:98" ht="18" customHeight="1" x14ac:dyDescent="0.3">
      <c r="A50" s="11">
        <v>2003</v>
      </c>
      <c r="B50" s="12" t="s">
        <v>8</v>
      </c>
      <c r="C50" s="25">
        <v>2941077757</v>
      </c>
      <c r="D50" s="26">
        <f t="shared" si="15"/>
        <v>104072739</v>
      </c>
      <c r="E50" s="27">
        <f t="shared" si="16"/>
        <v>247808142</v>
      </c>
      <c r="F50" s="28">
        <v>22422879</v>
      </c>
      <c r="G50" s="26">
        <v>796906</v>
      </c>
      <c r="H50" s="28">
        <v>1929868</v>
      </c>
      <c r="I50" s="29">
        <v>12540720</v>
      </c>
      <c r="J50" s="26">
        <v>5808190</v>
      </c>
      <c r="K50" s="28">
        <v>13138483</v>
      </c>
      <c r="L50" s="26">
        <f>25809459-1184706</f>
        <v>24624753</v>
      </c>
      <c r="M50" s="26">
        <v>47960593</v>
      </c>
      <c r="N50" s="30">
        <f t="shared" si="17"/>
        <v>104072739</v>
      </c>
      <c r="O50" s="31">
        <v>465881170</v>
      </c>
      <c r="P50" s="32">
        <v>44470675</v>
      </c>
      <c r="Q50" s="26">
        <v>11026905</v>
      </c>
      <c r="R50" s="26">
        <v>8509623</v>
      </c>
      <c r="S50" s="26">
        <f>63203074-1163317</f>
        <v>62039757</v>
      </c>
      <c r="T50" s="26">
        <v>121761182</v>
      </c>
      <c r="U50" s="27">
        <f t="shared" si="18"/>
        <v>247808142</v>
      </c>
    </row>
    <row r="51" spans="1:98" ht="18" customHeight="1" x14ac:dyDescent="0.3">
      <c r="A51" s="11">
        <v>2003</v>
      </c>
      <c r="B51" s="12" t="s">
        <v>9</v>
      </c>
      <c r="C51" s="25">
        <v>2940839951</v>
      </c>
      <c r="D51" s="26">
        <f t="shared" si="15"/>
        <v>104169413</v>
      </c>
      <c r="E51" s="27">
        <f t="shared" si="16"/>
        <v>255497166</v>
      </c>
      <c r="F51" s="28">
        <v>21345423</v>
      </c>
      <c r="G51" s="26">
        <v>766006</v>
      </c>
      <c r="H51" s="28">
        <v>1845784</v>
      </c>
      <c r="I51" s="29">
        <v>12342730</v>
      </c>
      <c r="J51" s="26">
        <v>5700003</v>
      </c>
      <c r="K51" s="28">
        <v>11145652</v>
      </c>
      <c r="L51" s="26">
        <f>26041628+1185238</f>
        <v>27226866</v>
      </c>
      <c r="M51" s="26">
        <v>47754162</v>
      </c>
      <c r="N51" s="30">
        <f t="shared" si="17"/>
        <v>104169413</v>
      </c>
      <c r="O51" s="31">
        <v>466408301</v>
      </c>
      <c r="P51" s="32">
        <v>50555008</v>
      </c>
      <c r="Q51" s="26">
        <v>10343870</v>
      </c>
      <c r="R51" s="26">
        <v>8030463</v>
      </c>
      <c r="S51" s="26">
        <f>64489680+893855</f>
        <v>65383535</v>
      </c>
      <c r="T51" s="26">
        <v>121184290</v>
      </c>
      <c r="U51" s="27">
        <f t="shared" si="18"/>
        <v>255497166</v>
      </c>
    </row>
    <row r="52" spans="1:98" ht="18" customHeight="1" x14ac:dyDescent="0.3">
      <c r="A52" s="11">
        <v>2003</v>
      </c>
      <c r="B52" s="12" t="s">
        <v>10</v>
      </c>
      <c r="C52" s="25">
        <v>2798157081</v>
      </c>
      <c r="D52" s="26">
        <f t="shared" si="15"/>
        <v>100956181</v>
      </c>
      <c r="E52" s="27">
        <f t="shared" si="16"/>
        <v>244564357</v>
      </c>
      <c r="F52" s="28">
        <v>18735209</v>
      </c>
      <c r="G52" s="26">
        <v>677706</v>
      </c>
      <c r="H52" s="28">
        <v>1628131</v>
      </c>
      <c r="I52" s="29">
        <v>12423292</v>
      </c>
      <c r="J52" s="26">
        <v>5135930</v>
      </c>
      <c r="K52" s="28">
        <v>9913306</v>
      </c>
      <c r="L52" s="26">
        <f>27131262+81489</f>
        <v>27212751</v>
      </c>
      <c r="M52" s="26">
        <v>46270902</v>
      </c>
      <c r="N52" s="30">
        <f t="shared" si="17"/>
        <v>100956181</v>
      </c>
      <c r="O52" s="31">
        <v>479990491</v>
      </c>
      <c r="P52" s="32">
        <v>52410725</v>
      </c>
      <c r="Q52" s="26">
        <v>10333106</v>
      </c>
      <c r="R52" s="26">
        <v>7556373</v>
      </c>
      <c r="S52" s="26">
        <f>58481270+20864</f>
        <v>58502134</v>
      </c>
      <c r="T52" s="26">
        <v>115762019</v>
      </c>
      <c r="U52" s="27">
        <f t="shared" si="18"/>
        <v>244564357</v>
      </c>
    </row>
    <row r="53" spans="1:98" ht="18" customHeight="1" x14ac:dyDescent="0.3">
      <c r="A53" s="11">
        <v>2003</v>
      </c>
      <c r="B53" s="12" t="s">
        <v>11</v>
      </c>
      <c r="C53" s="25">
        <v>2892089010</v>
      </c>
      <c r="D53" s="26">
        <f t="shared" si="15"/>
        <v>105734376</v>
      </c>
      <c r="E53" s="27">
        <f t="shared" si="16"/>
        <v>254450946</v>
      </c>
      <c r="F53" s="28">
        <v>19148265</v>
      </c>
      <c r="G53" s="26">
        <v>693959</v>
      </c>
      <c r="H53" s="28">
        <v>1659553</v>
      </c>
      <c r="I53" s="29">
        <v>13481500</v>
      </c>
      <c r="J53" s="26">
        <v>5989967</v>
      </c>
      <c r="K53" s="28">
        <v>8642339</v>
      </c>
      <c r="L53" s="26">
        <f>31457848-806906</f>
        <v>30650942</v>
      </c>
      <c r="M53" s="26">
        <v>46969628</v>
      </c>
      <c r="N53" s="30">
        <f t="shared" si="17"/>
        <v>105734376</v>
      </c>
      <c r="O53" s="31">
        <v>514019552</v>
      </c>
      <c r="P53" s="32">
        <v>56445589</v>
      </c>
      <c r="Q53" s="26">
        <v>9946376</v>
      </c>
      <c r="R53" s="26">
        <v>7292715</v>
      </c>
      <c r="S53" s="26">
        <f>64559315-1002399</f>
        <v>63556916</v>
      </c>
      <c r="T53" s="26">
        <v>117209350</v>
      </c>
      <c r="U53" s="27">
        <f t="shared" si="18"/>
        <v>254450946</v>
      </c>
    </row>
    <row r="54" spans="1:98" ht="18" customHeight="1" x14ac:dyDescent="0.3">
      <c r="A54" s="11">
        <v>2003</v>
      </c>
      <c r="B54" s="12" t="s">
        <v>12</v>
      </c>
      <c r="C54" s="25">
        <v>2816712291</v>
      </c>
      <c r="D54" s="26">
        <f t="shared" si="15"/>
        <v>105659987</v>
      </c>
      <c r="E54" s="27">
        <f t="shared" si="16"/>
        <v>249663587</v>
      </c>
      <c r="F54" s="28">
        <v>20232142</v>
      </c>
      <c r="G54" s="26">
        <v>743269</v>
      </c>
      <c r="H54" s="28">
        <v>1779482</v>
      </c>
      <c r="I54" s="29">
        <v>12285027</v>
      </c>
      <c r="J54" s="26">
        <v>6917488</v>
      </c>
      <c r="K54" s="28">
        <v>7377719</v>
      </c>
      <c r="L54" s="26">
        <f>31557805+1083285</f>
        <v>32641090</v>
      </c>
      <c r="M54" s="26">
        <v>46438663</v>
      </c>
      <c r="N54" s="30">
        <f t="shared" si="17"/>
        <v>105659987</v>
      </c>
      <c r="O54" s="31">
        <v>464592199</v>
      </c>
      <c r="P54" s="32">
        <v>50923519</v>
      </c>
      <c r="Q54" s="26">
        <v>10127142</v>
      </c>
      <c r="R54" s="26">
        <v>6102356</v>
      </c>
      <c r="S54" s="26">
        <f>68219346+1624532</f>
        <v>69843878</v>
      </c>
      <c r="T54" s="26">
        <v>112666692</v>
      </c>
      <c r="U54" s="27">
        <f t="shared" si="18"/>
        <v>249663587</v>
      </c>
    </row>
    <row r="55" spans="1:98" s="6" customFormat="1" ht="18" customHeight="1" thickBot="1" x14ac:dyDescent="0.35">
      <c r="A55" s="11">
        <v>2003</v>
      </c>
      <c r="B55" s="12" t="s">
        <v>13</v>
      </c>
      <c r="C55" s="25">
        <v>2953483302</v>
      </c>
      <c r="D55" s="26">
        <f t="shared" si="15"/>
        <v>111934334</v>
      </c>
      <c r="E55" s="27">
        <f t="shared" si="16"/>
        <v>261572184</v>
      </c>
      <c r="F55" s="28">
        <v>21249121</v>
      </c>
      <c r="G55" s="26">
        <v>783094</v>
      </c>
      <c r="H55" s="28">
        <v>1868277</v>
      </c>
      <c r="I55" s="29">
        <v>12874993</v>
      </c>
      <c r="J55" s="26">
        <v>6982897</v>
      </c>
      <c r="K55" s="28">
        <v>6198485</v>
      </c>
      <c r="L55" s="26">
        <f>36753004+36172</f>
        <v>36789176</v>
      </c>
      <c r="M55" s="26">
        <v>49088783</v>
      </c>
      <c r="N55" s="30">
        <f t="shared" si="17"/>
        <v>111934334</v>
      </c>
      <c r="O55" s="31">
        <v>480071289</v>
      </c>
      <c r="P55" s="32">
        <v>52467991</v>
      </c>
      <c r="Q55" s="26">
        <v>9463167</v>
      </c>
      <c r="R55" s="26">
        <v>4680606</v>
      </c>
      <c r="S55" s="26">
        <f>74398434-837045</f>
        <v>73561389</v>
      </c>
      <c r="T55" s="26">
        <v>121399031</v>
      </c>
      <c r="U55" s="27">
        <f t="shared" si="18"/>
        <v>261572184</v>
      </c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</row>
    <row r="56" spans="1:98" s="22" customFormat="1" ht="18" customHeight="1" thickTop="1" thickBot="1" x14ac:dyDescent="0.35">
      <c r="A56" s="20">
        <v>2003</v>
      </c>
      <c r="B56" s="21" t="s">
        <v>14</v>
      </c>
      <c r="C56" s="33">
        <f t="shared" ref="C56:U56" si="19">SUM(C44:C55)</f>
        <v>35297082429</v>
      </c>
      <c r="D56" s="34">
        <f t="shared" si="19"/>
        <v>1290889555</v>
      </c>
      <c r="E56" s="35">
        <f t="shared" si="19"/>
        <v>3080087039</v>
      </c>
      <c r="F56" s="36">
        <f t="shared" si="19"/>
        <v>253071435</v>
      </c>
      <c r="G56" s="34">
        <f t="shared" si="19"/>
        <v>9091672</v>
      </c>
      <c r="H56" s="36">
        <f t="shared" si="19"/>
        <v>22031735</v>
      </c>
      <c r="I56" s="37">
        <f t="shared" si="19"/>
        <v>150407022</v>
      </c>
      <c r="J56" s="34">
        <f t="shared" si="19"/>
        <v>68645098</v>
      </c>
      <c r="K56" s="36">
        <f t="shared" si="19"/>
        <v>112329353</v>
      </c>
      <c r="L56" s="34">
        <f t="shared" si="19"/>
        <v>393705126</v>
      </c>
      <c r="M56" s="34">
        <f t="shared" si="19"/>
        <v>565802956</v>
      </c>
      <c r="N56" s="38">
        <f t="shared" si="19"/>
        <v>1290889555</v>
      </c>
      <c r="O56" s="39">
        <f t="shared" si="19"/>
        <v>5724996055</v>
      </c>
      <c r="P56" s="40">
        <f t="shared" si="19"/>
        <v>612790084</v>
      </c>
      <c r="Q56" s="34">
        <f t="shared" si="19"/>
        <v>124344010</v>
      </c>
      <c r="R56" s="34">
        <f t="shared" si="19"/>
        <v>89011651</v>
      </c>
      <c r="S56" s="34">
        <f t="shared" si="19"/>
        <v>838059609</v>
      </c>
      <c r="T56" s="34">
        <f t="shared" si="19"/>
        <v>1415881685</v>
      </c>
      <c r="U56" s="35">
        <f t="shared" si="19"/>
        <v>3080087039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 ht="18" customHeight="1" thickTop="1" x14ac:dyDescent="0.3">
      <c r="A57" s="11">
        <v>2004</v>
      </c>
      <c r="B57" s="12" t="s">
        <v>2</v>
      </c>
      <c r="C57" s="25">
        <v>2991827740</v>
      </c>
      <c r="D57" s="26">
        <f t="shared" ref="D57:D68" si="20">+N57</f>
        <v>113150479</v>
      </c>
      <c r="E57" s="27">
        <f t="shared" ref="E57:E68" si="21">+U57</f>
        <v>263786852</v>
      </c>
      <c r="F57" s="28">
        <v>21741659</v>
      </c>
      <c r="G57" s="26">
        <v>798644</v>
      </c>
      <c r="H57" s="28">
        <v>1904579</v>
      </c>
      <c r="I57" s="29">
        <v>12855828</v>
      </c>
      <c r="J57" s="26">
        <v>5275900</v>
      </c>
      <c r="K57" s="28">
        <v>7841576</v>
      </c>
      <c r="L57" s="26">
        <f>38037814-731105</f>
        <v>37306709</v>
      </c>
      <c r="M57" s="26">
        <v>49870466</v>
      </c>
      <c r="N57" s="30">
        <f t="shared" ref="N57:N68" si="22">SUM(I57:M57)</f>
        <v>113150479</v>
      </c>
      <c r="O57" s="31">
        <v>487250027</v>
      </c>
      <c r="P57" s="32">
        <v>53220715</v>
      </c>
      <c r="Q57" s="26">
        <v>9480177</v>
      </c>
      <c r="R57" s="26">
        <v>6178580</v>
      </c>
      <c r="S57" s="26">
        <f>71399430+722036</f>
        <v>72121466</v>
      </c>
      <c r="T57" s="26">
        <v>122785914</v>
      </c>
      <c r="U57" s="27">
        <f t="shared" ref="U57:U68" si="23">SUM(P57:T57)</f>
        <v>263786852</v>
      </c>
    </row>
    <row r="58" spans="1:98" ht="18" customHeight="1" x14ac:dyDescent="0.3">
      <c r="A58" s="11">
        <v>2004</v>
      </c>
      <c r="B58" s="12" t="s">
        <v>3</v>
      </c>
      <c r="C58" s="25">
        <v>2852666921</v>
      </c>
      <c r="D58" s="26">
        <f t="shared" si="20"/>
        <v>107086852</v>
      </c>
      <c r="E58" s="27">
        <f t="shared" si="21"/>
        <v>250768078</v>
      </c>
      <c r="F58" s="28">
        <v>20922609</v>
      </c>
      <c r="G58" s="26">
        <v>756421</v>
      </c>
      <c r="H58" s="28">
        <v>1829393</v>
      </c>
      <c r="I58" s="29">
        <v>12044328</v>
      </c>
      <c r="J58" s="26">
        <v>5847432</v>
      </c>
      <c r="K58" s="28">
        <v>9039332</v>
      </c>
      <c r="L58" s="26">
        <f>34279536+243027</f>
        <v>34522563</v>
      </c>
      <c r="M58" s="26">
        <v>45633197</v>
      </c>
      <c r="N58" s="30">
        <f t="shared" si="22"/>
        <v>107086852</v>
      </c>
      <c r="O58" s="31">
        <v>464187754</v>
      </c>
      <c r="P58" s="32">
        <v>50663516</v>
      </c>
      <c r="Q58" s="26">
        <v>9495624</v>
      </c>
      <c r="R58" s="26">
        <v>6553553</v>
      </c>
      <c r="S58" s="26">
        <f>70087091-450953</f>
        <v>69636138</v>
      </c>
      <c r="T58" s="26">
        <v>114419247</v>
      </c>
      <c r="U58" s="27">
        <f t="shared" si="23"/>
        <v>250768078</v>
      </c>
    </row>
    <row r="59" spans="1:98" ht="18" customHeight="1" x14ac:dyDescent="0.3">
      <c r="A59" s="11">
        <v>2004</v>
      </c>
      <c r="B59" s="12" t="s">
        <v>4</v>
      </c>
      <c r="C59" s="25">
        <v>3088170383</v>
      </c>
      <c r="D59" s="26">
        <f t="shared" si="20"/>
        <v>113724547</v>
      </c>
      <c r="E59" s="27">
        <f t="shared" si="21"/>
        <v>270152672</v>
      </c>
      <c r="F59" s="28">
        <v>21505241</v>
      </c>
      <c r="G59" s="26">
        <v>773890</v>
      </c>
      <c r="H59" s="28">
        <v>1870808</v>
      </c>
      <c r="I59" s="29">
        <v>13087152</v>
      </c>
      <c r="J59" s="26">
        <v>7373708</v>
      </c>
      <c r="K59" s="28">
        <v>16578830</v>
      </c>
      <c r="L59" s="26">
        <f>28572935-1120012</f>
        <v>27452923</v>
      </c>
      <c r="M59" s="26">
        <v>49231934</v>
      </c>
      <c r="N59" s="30">
        <f t="shared" si="22"/>
        <v>113724547</v>
      </c>
      <c r="O59" s="31">
        <v>505806732</v>
      </c>
      <c r="P59" s="32">
        <v>55090282</v>
      </c>
      <c r="Q59" s="26">
        <v>11116230</v>
      </c>
      <c r="R59" s="26">
        <v>8693851</v>
      </c>
      <c r="S59" s="26">
        <f>70122647-437829</f>
        <v>69684818</v>
      </c>
      <c r="T59" s="26">
        <v>125567491</v>
      </c>
      <c r="U59" s="27">
        <f t="shared" si="23"/>
        <v>270152672</v>
      </c>
    </row>
    <row r="60" spans="1:98" ht="18" customHeight="1" x14ac:dyDescent="0.3">
      <c r="A60" s="11">
        <v>2004</v>
      </c>
      <c r="B60" s="12" t="s">
        <v>5</v>
      </c>
      <c r="C60" s="25">
        <v>2950317794</v>
      </c>
      <c r="D60" s="26">
        <f t="shared" si="20"/>
        <v>106986808</v>
      </c>
      <c r="E60" s="27">
        <f t="shared" si="21"/>
        <v>258358553</v>
      </c>
      <c r="F60" s="28">
        <v>19888399</v>
      </c>
      <c r="G60" s="26">
        <v>717143</v>
      </c>
      <c r="H60" s="28">
        <v>1734608</v>
      </c>
      <c r="I60" s="29">
        <v>11230909</v>
      </c>
      <c r="J60" s="26">
        <v>6287178</v>
      </c>
      <c r="K60" s="28">
        <v>12497915</v>
      </c>
      <c r="L60" s="26">
        <f>30494558+175530</f>
        <v>30670088</v>
      </c>
      <c r="M60" s="26">
        <v>46300718</v>
      </c>
      <c r="N60" s="30">
        <f t="shared" si="22"/>
        <v>106986808</v>
      </c>
      <c r="O60" s="31">
        <v>427450502</v>
      </c>
      <c r="P60" s="32">
        <v>47116495</v>
      </c>
      <c r="Q60" s="26">
        <v>9274937</v>
      </c>
      <c r="R60" s="26">
        <v>8518216</v>
      </c>
      <c r="S60" s="26">
        <f>75180794-563063</f>
        <v>74617731</v>
      </c>
      <c r="T60" s="26">
        <v>118831174</v>
      </c>
      <c r="U60" s="27">
        <f t="shared" si="23"/>
        <v>258358553</v>
      </c>
    </row>
    <row r="61" spans="1:98" ht="18" customHeight="1" x14ac:dyDescent="0.3">
      <c r="A61" s="11">
        <v>2004</v>
      </c>
      <c r="B61" s="12" t="s">
        <v>6</v>
      </c>
      <c r="C61" s="25">
        <v>3012792305</v>
      </c>
      <c r="D61" s="26">
        <f t="shared" si="20"/>
        <v>107759608</v>
      </c>
      <c r="E61" s="27">
        <f t="shared" si="21"/>
        <v>263450791</v>
      </c>
      <c r="F61" s="28">
        <v>22301618</v>
      </c>
      <c r="G61" s="26">
        <v>803918</v>
      </c>
      <c r="H61" s="28">
        <v>1946475</v>
      </c>
      <c r="I61" s="29">
        <v>9433560</v>
      </c>
      <c r="J61" s="26">
        <v>5995304</v>
      </c>
      <c r="K61" s="28">
        <v>12352945</v>
      </c>
      <c r="L61" s="26">
        <f>30775105+1414554</f>
        <v>32189659</v>
      </c>
      <c r="M61" s="26">
        <v>47788140</v>
      </c>
      <c r="N61" s="30">
        <f t="shared" si="22"/>
        <v>107759608</v>
      </c>
      <c r="O61" s="31">
        <v>374312112</v>
      </c>
      <c r="P61" s="32">
        <v>41964872</v>
      </c>
      <c r="Q61" s="26">
        <v>9389046</v>
      </c>
      <c r="R61" s="26">
        <v>8662208</v>
      </c>
      <c r="S61" s="26">
        <f>78014541+2140506</f>
        <v>80155047</v>
      </c>
      <c r="T61" s="26">
        <v>123279618</v>
      </c>
      <c r="U61" s="27">
        <f t="shared" si="23"/>
        <v>263450791</v>
      </c>
    </row>
    <row r="62" spans="1:98" ht="18" customHeight="1" x14ac:dyDescent="0.3">
      <c r="A62" s="11">
        <v>2004</v>
      </c>
      <c r="B62" s="12" t="s">
        <v>7</v>
      </c>
      <c r="C62" s="25">
        <v>2886621154</v>
      </c>
      <c r="D62" s="26">
        <f t="shared" si="20"/>
        <v>103000951</v>
      </c>
      <c r="E62" s="27">
        <f t="shared" si="21"/>
        <v>252008674</v>
      </c>
      <c r="F62" s="28">
        <v>20335531</v>
      </c>
      <c r="G62" s="26">
        <v>773822</v>
      </c>
      <c r="H62" s="28">
        <v>1871906</v>
      </c>
      <c r="I62" s="29">
        <v>9520187</v>
      </c>
      <c r="J62" s="26">
        <v>5309274</v>
      </c>
      <c r="K62" s="28">
        <v>8578275</v>
      </c>
      <c r="L62" s="26">
        <f>36086909-934576</f>
        <v>35152333</v>
      </c>
      <c r="M62" s="26">
        <v>44440882</v>
      </c>
      <c r="N62" s="30">
        <f t="shared" si="22"/>
        <v>103000951</v>
      </c>
      <c r="O62" s="31">
        <v>366199280</v>
      </c>
      <c r="P62" s="32">
        <v>40909474</v>
      </c>
      <c r="Q62" s="26">
        <v>8405822</v>
      </c>
      <c r="R62" s="26">
        <v>8092540</v>
      </c>
      <c r="S62" s="26">
        <f>77698975-1124715</f>
        <v>76574260</v>
      </c>
      <c r="T62" s="26">
        <v>118026578</v>
      </c>
      <c r="U62" s="27">
        <f t="shared" si="23"/>
        <v>252008674</v>
      </c>
    </row>
    <row r="63" spans="1:98" ht="18" customHeight="1" x14ac:dyDescent="0.3">
      <c r="A63" s="11">
        <v>2004</v>
      </c>
      <c r="B63" s="12" t="s">
        <v>8</v>
      </c>
      <c r="C63" s="25">
        <v>2943563985</v>
      </c>
      <c r="D63" s="26">
        <f t="shared" si="20"/>
        <v>104620132</v>
      </c>
      <c r="E63" s="27">
        <f t="shared" si="21"/>
        <v>256436580</v>
      </c>
      <c r="F63" s="28">
        <v>22007858</v>
      </c>
      <c r="G63" s="26">
        <v>793965</v>
      </c>
      <c r="H63" s="28">
        <v>1914253</v>
      </c>
      <c r="I63" s="29">
        <v>9963118</v>
      </c>
      <c r="J63" s="26">
        <v>5210807</v>
      </c>
      <c r="K63" s="28">
        <v>7661207</v>
      </c>
      <c r="L63" s="26">
        <f>36226905+229637</f>
        <v>36456542</v>
      </c>
      <c r="M63" s="26">
        <v>45328458</v>
      </c>
      <c r="N63" s="30">
        <f t="shared" si="22"/>
        <v>104620132</v>
      </c>
      <c r="O63" s="31">
        <v>380125964</v>
      </c>
      <c r="P63" s="32">
        <v>42307276</v>
      </c>
      <c r="Q63" s="26">
        <v>8119388</v>
      </c>
      <c r="R63" s="26">
        <v>7578635</v>
      </c>
      <c r="S63" s="26">
        <f>75783692+707894</f>
        <v>76491586</v>
      </c>
      <c r="T63" s="26">
        <v>121939695</v>
      </c>
      <c r="U63" s="27">
        <f t="shared" si="23"/>
        <v>256436580</v>
      </c>
    </row>
    <row r="64" spans="1:98" ht="18" customHeight="1" x14ac:dyDescent="0.3">
      <c r="A64" s="11">
        <v>2004</v>
      </c>
      <c r="B64" s="12" t="s">
        <v>9</v>
      </c>
      <c r="C64" s="25">
        <v>2945500188</v>
      </c>
      <c r="D64" s="26">
        <f t="shared" si="20"/>
        <v>105683342</v>
      </c>
      <c r="E64" s="27">
        <f t="shared" si="21"/>
        <v>257332903</v>
      </c>
      <c r="F64" s="28">
        <v>22007843</v>
      </c>
      <c r="G64" s="26">
        <v>792759</v>
      </c>
      <c r="H64" s="28">
        <v>1917898</v>
      </c>
      <c r="I64" s="29">
        <v>10779191</v>
      </c>
      <c r="J64" s="26">
        <v>5639030</v>
      </c>
      <c r="K64" s="28">
        <v>8049860</v>
      </c>
      <c r="L64" s="26">
        <f>35522462-250036</f>
        <v>35272426</v>
      </c>
      <c r="M64" s="26">
        <v>45942835</v>
      </c>
      <c r="N64" s="30">
        <f t="shared" si="22"/>
        <v>105683342</v>
      </c>
      <c r="O64" s="31">
        <v>416037168</v>
      </c>
      <c r="P64" s="32">
        <v>46161131</v>
      </c>
      <c r="Q64" s="26">
        <v>9921010</v>
      </c>
      <c r="R64" s="26">
        <v>7921733</v>
      </c>
      <c r="S64" s="26">
        <f>73582994-492833</f>
        <v>73090161</v>
      </c>
      <c r="T64" s="26">
        <v>120238868</v>
      </c>
      <c r="U64" s="27">
        <f t="shared" si="23"/>
        <v>257332903</v>
      </c>
    </row>
    <row r="65" spans="1:98" ht="18" customHeight="1" x14ac:dyDescent="0.3">
      <c r="A65" s="11">
        <v>2004</v>
      </c>
      <c r="B65" s="12" t="s">
        <v>10</v>
      </c>
      <c r="C65" s="25">
        <v>2843327522</v>
      </c>
      <c r="D65" s="26">
        <f t="shared" si="20"/>
        <v>103643741</v>
      </c>
      <c r="E65" s="27">
        <f t="shared" si="21"/>
        <v>249604061</v>
      </c>
      <c r="F65" s="28">
        <v>21158672</v>
      </c>
      <c r="G65" s="26">
        <v>770775</v>
      </c>
      <c r="H65" s="28">
        <v>1849835</v>
      </c>
      <c r="I65" s="29">
        <v>10612056</v>
      </c>
      <c r="J65" s="26">
        <v>5253405</v>
      </c>
      <c r="K65" s="28">
        <v>7640528</v>
      </c>
      <c r="L65" s="26">
        <f>34459593-241090</f>
        <v>34218503</v>
      </c>
      <c r="M65" s="26">
        <v>45919249</v>
      </c>
      <c r="N65" s="30">
        <f t="shared" si="22"/>
        <v>103643741</v>
      </c>
      <c r="O65" s="31">
        <v>418677630</v>
      </c>
      <c r="P65" s="32">
        <v>46526465</v>
      </c>
      <c r="Q65" s="26">
        <v>8791332</v>
      </c>
      <c r="R65" s="26">
        <v>6754630</v>
      </c>
      <c r="S65" s="26">
        <f>68199232-413300</f>
        <v>67785932</v>
      </c>
      <c r="T65" s="26">
        <v>119745702</v>
      </c>
      <c r="U65" s="27">
        <f t="shared" si="23"/>
        <v>249604061</v>
      </c>
    </row>
    <row r="66" spans="1:98" ht="18" customHeight="1" x14ac:dyDescent="0.3">
      <c r="A66" s="11">
        <v>2004</v>
      </c>
      <c r="B66" s="12" t="s">
        <v>11</v>
      </c>
      <c r="C66" s="25">
        <v>2946197154</v>
      </c>
      <c r="D66" s="26">
        <f t="shared" si="20"/>
        <v>109213261</v>
      </c>
      <c r="E66" s="27">
        <f t="shared" si="21"/>
        <v>260141595</v>
      </c>
      <c r="F66" s="28">
        <v>21736097</v>
      </c>
      <c r="G66" s="26">
        <v>803012</v>
      </c>
      <c r="H66" s="28">
        <v>1915158</v>
      </c>
      <c r="I66" s="29">
        <v>10538924</v>
      </c>
      <c r="J66" s="26">
        <v>6240358</v>
      </c>
      <c r="K66" s="28">
        <v>7313331</v>
      </c>
      <c r="L66" s="26">
        <f>36976512+739166</f>
        <v>37715678</v>
      </c>
      <c r="M66" s="26">
        <v>47404970</v>
      </c>
      <c r="N66" s="30">
        <f t="shared" si="22"/>
        <v>109213261</v>
      </c>
      <c r="O66" s="31">
        <v>417557288</v>
      </c>
      <c r="P66" s="32">
        <v>46576895</v>
      </c>
      <c r="Q66" s="26">
        <v>9249216</v>
      </c>
      <c r="R66" s="26">
        <v>6199395</v>
      </c>
      <c r="S66" s="26">
        <f>74320530+920478</f>
        <v>75241008</v>
      </c>
      <c r="T66" s="26">
        <v>122875081</v>
      </c>
      <c r="U66" s="27">
        <f t="shared" si="23"/>
        <v>260141595</v>
      </c>
    </row>
    <row r="67" spans="1:98" ht="18" customHeight="1" x14ac:dyDescent="0.3">
      <c r="A67" s="11">
        <v>2004</v>
      </c>
      <c r="B67" s="12" t="s">
        <v>12</v>
      </c>
      <c r="C67" s="25">
        <v>2833327406</v>
      </c>
      <c r="D67" s="26">
        <f t="shared" si="20"/>
        <v>107129241</v>
      </c>
      <c r="E67" s="27">
        <f t="shared" si="21"/>
        <v>252093237</v>
      </c>
      <c r="F67" s="28">
        <v>20942621</v>
      </c>
      <c r="G67" s="26">
        <v>777434</v>
      </c>
      <c r="H67" s="28">
        <v>1852837</v>
      </c>
      <c r="I67" s="29">
        <v>10196373</v>
      </c>
      <c r="J67" s="26">
        <v>8698700</v>
      </c>
      <c r="K67" s="28">
        <v>6455932</v>
      </c>
      <c r="L67" s="26">
        <f>33597093-272475</f>
        <v>33324618</v>
      </c>
      <c r="M67" s="26">
        <v>48453618</v>
      </c>
      <c r="N67" s="30">
        <f t="shared" si="22"/>
        <v>107129241</v>
      </c>
      <c r="O67" s="31">
        <v>403405889</v>
      </c>
      <c r="P67" s="32">
        <v>44913170</v>
      </c>
      <c r="Q67" s="26">
        <v>10042928</v>
      </c>
      <c r="R67" s="26">
        <v>5610706</v>
      </c>
      <c r="S67" s="26">
        <f>68766996-33700</f>
        <v>68733296</v>
      </c>
      <c r="T67" s="26">
        <v>122793137</v>
      </c>
      <c r="U67" s="27">
        <f t="shared" si="23"/>
        <v>252093237</v>
      </c>
    </row>
    <row r="68" spans="1:98" s="6" customFormat="1" ht="18" customHeight="1" thickBot="1" x14ac:dyDescent="0.35">
      <c r="A68" s="13">
        <v>2004</v>
      </c>
      <c r="B68" s="7" t="s">
        <v>13</v>
      </c>
      <c r="C68" s="41">
        <v>2960136282</v>
      </c>
      <c r="D68" s="42">
        <f t="shared" si="20"/>
        <v>112424990</v>
      </c>
      <c r="E68" s="43">
        <f t="shared" si="21"/>
        <v>262571008</v>
      </c>
      <c r="F68" s="44">
        <v>21741739</v>
      </c>
      <c r="G68" s="42">
        <v>805046</v>
      </c>
      <c r="H68" s="44">
        <v>1914491</v>
      </c>
      <c r="I68" s="45">
        <v>10541695</v>
      </c>
      <c r="J68" s="42">
        <v>6768935</v>
      </c>
      <c r="K68" s="44">
        <v>4524568</v>
      </c>
      <c r="L68" s="42">
        <f>38322551-221448</f>
        <v>38101103</v>
      </c>
      <c r="M68" s="42">
        <v>52488689</v>
      </c>
      <c r="N68" s="46">
        <f t="shared" si="22"/>
        <v>112424990</v>
      </c>
      <c r="O68" s="47">
        <v>404368507</v>
      </c>
      <c r="P68" s="48">
        <v>44888749</v>
      </c>
      <c r="Q68" s="42">
        <v>8910591</v>
      </c>
      <c r="R68" s="42">
        <v>4088787</v>
      </c>
      <c r="S68" s="42">
        <f>74578965-404382</f>
        <v>74174583</v>
      </c>
      <c r="T68" s="42">
        <v>130508298</v>
      </c>
      <c r="U68" s="43">
        <f t="shared" si="23"/>
        <v>262571008</v>
      </c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</row>
    <row r="69" spans="1:98" s="22" customFormat="1" ht="18" customHeight="1" thickTop="1" thickBot="1" x14ac:dyDescent="0.35">
      <c r="A69" s="18">
        <v>2004</v>
      </c>
      <c r="B69" s="19" t="s">
        <v>14</v>
      </c>
      <c r="C69" s="49">
        <f t="shared" ref="C69:U69" si="24">SUM(C57:C68)</f>
        <v>35254448834</v>
      </c>
      <c r="D69" s="50">
        <f t="shared" si="24"/>
        <v>1294423952</v>
      </c>
      <c r="E69" s="51">
        <f t="shared" si="24"/>
        <v>3096705004</v>
      </c>
      <c r="F69" s="52">
        <f t="shared" si="24"/>
        <v>256289887</v>
      </c>
      <c r="G69" s="50">
        <f t="shared" si="24"/>
        <v>9366829</v>
      </c>
      <c r="H69" s="52">
        <f t="shared" si="24"/>
        <v>22522241</v>
      </c>
      <c r="I69" s="53">
        <f t="shared" si="24"/>
        <v>130803321</v>
      </c>
      <c r="J69" s="50">
        <f t="shared" si="24"/>
        <v>73900031</v>
      </c>
      <c r="K69" s="52">
        <f t="shared" si="24"/>
        <v>108534299</v>
      </c>
      <c r="L69" s="50">
        <f t="shared" si="24"/>
        <v>412383145</v>
      </c>
      <c r="M69" s="50">
        <f t="shared" si="24"/>
        <v>568803156</v>
      </c>
      <c r="N69" s="54">
        <f t="shared" si="24"/>
        <v>1294423952</v>
      </c>
      <c r="O69" s="55">
        <f t="shared" si="24"/>
        <v>5065378853</v>
      </c>
      <c r="P69" s="56">
        <f t="shared" si="24"/>
        <v>560339040</v>
      </c>
      <c r="Q69" s="50">
        <f t="shared" si="24"/>
        <v>112196301</v>
      </c>
      <c r="R69" s="50">
        <f t="shared" si="24"/>
        <v>84852834</v>
      </c>
      <c r="S69" s="50">
        <f t="shared" si="24"/>
        <v>878306026</v>
      </c>
      <c r="T69" s="50">
        <f t="shared" si="24"/>
        <v>1461010803</v>
      </c>
      <c r="U69" s="51">
        <f t="shared" si="24"/>
        <v>3096705004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 ht="18" customHeight="1" thickTop="1" x14ac:dyDescent="0.3">
      <c r="A70" s="11">
        <v>2005</v>
      </c>
      <c r="B70" s="12" t="s">
        <v>2</v>
      </c>
      <c r="C70" s="25">
        <v>2931519182</v>
      </c>
      <c r="D70" s="26">
        <f t="shared" ref="D70:D81" si="25">+N70</f>
        <v>111697514</v>
      </c>
      <c r="E70" s="27">
        <f t="shared" ref="E70:E81" si="26">+U70</f>
        <v>259070434</v>
      </c>
      <c r="F70" s="28">
        <v>21866883</v>
      </c>
      <c r="G70" s="26">
        <v>805569</v>
      </c>
      <c r="H70" s="28">
        <v>1923298</v>
      </c>
      <c r="I70" s="29">
        <v>10192538</v>
      </c>
      <c r="J70" s="26">
        <v>4814604</v>
      </c>
      <c r="K70" s="28">
        <v>5775316</v>
      </c>
      <c r="L70" s="26">
        <f>38137921+478579</f>
        <v>38616500</v>
      </c>
      <c r="M70" s="26">
        <v>52298556</v>
      </c>
      <c r="N70" s="30">
        <f t="shared" ref="N70:N81" si="27">SUM(I70:M70)</f>
        <v>111697514</v>
      </c>
      <c r="O70" s="31">
        <v>406730289</v>
      </c>
      <c r="P70" s="32">
        <v>45231725</v>
      </c>
      <c r="Q70" s="26">
        <v>9174410</v>
      </c>
      <c r="R70" s="26">
        <v>5861711</v>
      </c>
      <c r="S70" s="26">
        <f>67704009+663546</f>
        <v>68367555</v>
      </c>
      <c r="T70" s="26">
        <v>130435033</v>
      </c>
      <c r="U70" s="27">
        <f t="shared" ref="U70:U81" si="28">SUM(P70:T70)</f>
        <v>259070434</v>
      </c>
    </row>
    <row r="71" spans="1:98" ht="18" customHeight="1" x14ac:dyDescent="0.3">
      <c r="A71" s="11">
        <v>2005</v>
      </c>
      <c r="B71" s="12" t="s">
        <v>3</v>
      </c>
      <c r="C71" s="25">
        <v>2700465870</v>
      </c>
      <c r="D71" s="26">
        <f t="shared" si="25"/>
        <v>100695327</v>
      </c>
      <c r="E71" s="27">
        <f t="shared" si="26"/>
        <v>237800056</v>
      </c>
      <c r="F71" s="28">
        <v>20007382</v>
      </c>
      <c r="G71" s="26">
        <v>727281</v>
      </c>
      <c r="H71" s="28">
        <v>1751599</v>
      </c>
      <c r="I71" s="29">
        <v>9262171</v>
      </c>
      <c r="J71" s="26">
        <v>5072457</v>
      </c>
      <c r="K71" s="28">
        <v>6373811</v>
      </c>
      <c r="L71" s="26">
        <f>34817201-298751</f>
        <v>34518450</v>
      </c>
      <c r="M71" s="26">
        <v>45468438</v>
      </c>
      <c r="N71" s="30">
        <f t="shared" si="27"/>
        <v>100695327</v>
      </c>
      <c r="O71" s="31">
        <v>372897582</v>
      </c>
      <c r="P71" s="32">
        <v>41416524</v>
      </c>
      <c r="Q71" s="26">
        <v>9120605</v>
      </c>
      <c r="R71" s="26">
        <v>5845991</v>
      </c>
      <c r="S71" s="26">
        <f>64750793-438432</f>
        <v>64312361</v>
      </c>
      <c r="T71" s="26">
        <v>117104575</v>
      </c>
      <c r="U71" s="27">
        <f t="shared" si="28"/>
        <v>237800056</v>
      </c>
    </row>
    <row r="72" spans="1:98" ht="18" customHeight="1" x14ac:dyDescent="0.3">
      <c r="A72" s="11">
        <v>2005</v>
      </c>
      <c r="B72" s="12" t="s">
        <v>4</v>
      </c>
      <c r="C72" s="25">
        <v>3058049109</v>
      </c>
      <c r="D72" s="26">
        <f t="shared" si="25"/>
        <v>111865873</v>
      </c>
      <c r="E72" s="27">
        <f t="shared" si="26"/>
        <v>268575727</v>
      </c>
      <c r="F72" s="28">
        <v>20417066</v>
      </c>
      <c r="G72" s="26">
        <v>750246</v>
      </c>
      <c r="H72" s="28">
        <v>1785506</v>
      </c>
      <c r="I72" s="29">
        <v>10282183</v>
      </c>
      <c r="J72" s="26">
        <v>5948142</v>
      </c>
      <c r="K72" s="28">
        <v>8113507</v>
      </c>
      <c r="L72" s="26">
        <f>37364525-466508</f>
        <v>36898017</v>
      </c>
      <c r="M72" s="26">
        <v>50624024</v>
      </c>
      <c r="N72" s="30">
        <f t="shared" si="27"/>
        <v>111865873</v>
      </c>
      <c r="O72" s="31">
        <v>409642255</v>
      </c>
      <c r="P72" s="32">
        <v>45447788</v>
      </c>
      <c r="Q72" s="26">
        <v>9476841</v>
      </c>
      <c r="R72" s="26">
        <v>7475137</v>
      </c>
      <c r="S72" s="26">
        <f>73989335-158413</f>
        <v>73830922</v>
      </c>
      <c r="T72" s="26">
        <v>132345039</v>
      </c>
      <c r="U72" s="27">
        <f t="shared" si="28"/>
        <v>268575727</v>
      </c>
    </row>
    <row r="73" spans="1:98" ht="18" customHeight="1" x14ac:dyDescent="0.3">
      <c r="A73" s="11">
        <v>2005</v>
      </c>
      <c r="B73" s="12" t="s">
        <v>5</v>
      </c>
      <c r="C73" s="25">
        <v>3023663202</v>
      </c>
      <c r="D73" s="26">
        <f t="shared" si="25"/>
        <v>110253382</v>
      </c>
      <c r="E73" s="27">
        <f t="shared" si="26"/>
        <v>266159947</v>
      </c>
      <c r="F73" s="28">
        <v>20905766</v>
      </c>
      <c r="G73" s="26">
        <v>763355</v>
      </c>
      <c r="H73" s="28">
        <v>1833042</v>
      </c>
      <c r="I73" s="29">
        <v>9607065</v>
      </c>
      <c r="J73" s="26">
        <v>5286124</v>
      </c>
      <c r="K73" s="28">
        <v>8471451</v>
      </c>
      <c r="L73" s="26">
        <f>36004265+218381</f>
        <v>36222646</v>
      </c>
      <c r="M73" s="26">
        <v>50666096</v>
      </c>
      <c r="N73" s="30">
        <f t="shared" si="27"/>
        <v>110253382</v>
      </c>
      <c r="O73" s="31">
        <v>386703256</v>
      </c>
      <c r="P73" s="32">
        <v>42921021</v>
      </c>
      <c r="Q73" s="26">
        <v>9755279</v>
      </c>
      <c r="R73" s="26">
        <v>7606501</v>
      </c>
      <c r="S73" s="26">
        <f>73416138+835125</f>
        <v>74251263</v>
      </c>
      <c r="T73" s="26">
        <v>131625883</v>
      </c>
      <c r="U73" s="27">
        <f t="shared" si="28"/>
        <v>266159947</v>
      </c>
    </row>
    <row r="74" spans="1:98" ht="18" customHeight="1" x14ac:dyDescent="0.3">
      <c r="A74" s="11">
        <v>2005</v>
      </c>
      <c r="B74" s="12" t="s">
        <v>6</v>
      </c>
      <c r="C74" s="25">
        <v>3122012990</v>
      </c>
      <c r="D74" s="26">
        <f t="shared" si="25"/>
        <v>112291301</v>
      </c>
      <c r="E74" s="27">
        <f t="shared" si="26"/>
        <v>272948342</v>
      </c>
      <c r="F74" s="28">
        <v>22368816</v>
      </c>
      <c r="G74" s="26">
        <v>808027</v>
      </c>
      <c r="H74" s="28">
        <v>1938185</v>
      </c>
      <c r="I74" s="29">
        <v>9872426</v>
      </c>
      <c r="J74" s="26">
        <v>5758506</v>
      </c>
      <c r="K74" s="28">
        <v>9113999</v>
      </c>
      <c r="L74" s="26">
        <f>35541514+38286</f>
        <v>35579800</v>
      </c>
      <c r="M74" s="26">
        <v>51966570</v>
      </c>
      <c r="N74" s="30">
        <f t="shared" si="27"/>
        <v>112291301</v>
      </c>
      <c r="O74" s="31">
        <v>402339888</v>
      </c>
      <c r="P74" s="32">
        <v>44662502</v>
      </c>
      <c r="Q74" s="26">
        <v>9619042</v>
      </c>
      <c r="R74" s="26">
        <v>8429933</v>
      </c>
      <c r="S74" s="26">
        <f>73901103-118954</f>
        <v>73782149</v>
      </c>
      <c r="T74" s="26">
        <v>136454716</v>
      </c>
      <c r="U74" s="27">
        <f t="shared" si="28"/>
        <v>272948342</v>
      </c>
    </row>
    <row r="75" spans="1:98" ht="18" customHeight="1" x14ac:dyDescent="0.3">
      <c r="A75" s="11">
        <v>2005</v>
      </c>
      <c r="B75" s="12" t="s">
        <v>7</v>
      </c>
      <c r="C75" s="25">
        <v>3021603498</v>
      </c>
      <c r="D75" s="26">
        <f t="shared" si="25"/>
        <v>107582927</v>
      </c>
      <c r="E75" s="27">
        <f t="shared" si="26"/>
        <v>264057008</v>
      </c>
      <c r="F75" s="28">
        <v>20425959</v>
      </c>
      <c r="G75" s="26">
        <v>738094</v>
      </c>
      <c r="H75" s="28">
        <v>1775741</v>
      </c>
      <c r="I75" s="29">
        <v>9727183</v>
      </c>
      <c r="J75" s="26">
        <v>5975367</v>
      </c>
      <c r="K75" s="28">
        <v>9681842</v>
      </c>
      <c r="L75" s="26">
        <f>34284213-523734</f>
        <v>33760479</v>
      </c>
      <c r="M75" s="26">
        <v>48438056</v>
      </c>
      <c r="N75" s="30">
        <f t="shared" si="27"/>
        <v>107582927</v>
      </c>
      <c r="O75" s="31">
        <v>383190332</v>
      </c>
      <c r="P75" s="32">
        <v>42482257</v>
      </c>
      <c r="Q75" s="26">
        <v>10102136</v>
      </c>
      <c r="R75" s="26">
        <v>8646546</v>
      </c>
      <c r="S75" s="26">
        <f>72088634-790744</f>
        <v>71297890</v>
      </c>
      <c r="T75" s="26">
        <v>131528179</v>
      </c>
      <c r="U75" s="27">
        <f t="shared" si="28"/>
        <v>264057008</v>
      </c>
    </row>
    <row r="76" spans="1:98" ht="18" customHeight="1" x14ac:dyDescent="0.3">
      <c r="A76" s="11">
        <v>2005</v>
      </c>
      <c r="B76" s="12" t="s">
        <v>8</v>
      </c>
      <c r="C76" s="25">
        <v>2960482328</v>
      </c>
      <c r="D76" s="26">
        <f t="shared" si="25"/>
        <v>105437939</v>
      </c>
      <c r="E76" s="27">
        <f t="shared" si="26"/>
        <v>256665272</v>
      </c>
      <c r="F76" s="28">
        <v>22248700</v>
      </c>
      <c r="G76" s="26">
        <v>799037</v>
      </c>
      <c r="H76" s="28">
        <v>1921052</v>
      </c>
      <c r="I76" s="29">
        <v>9562570</v>
      </c>
      <c r="J76" s="26">
        <v>6586532</v>
      </c>
      <c r="K76" s="28">
        <v>10512522</v>
      </c>
      <c r="L76" s="26">
        <f>29239559+818212</f>
        <v>30057771</v>
      </c>
      <c r="M76" s="26">
        <v>48718544</v>
      </c>
      <c r="N76" s="30">
        <f t="shared" si="27"/>
        <v>105437939</v>
      </c>
      <c r="O76" s="31">
        <v>372269720</v>
      </c>
      <c r="P76" s="32">
        <v>41261647</v>
      </c>
      <c r="Q76" s="26">
        <v>9914889</v>
      </c>
      <c r="R76" s="26">
        <v>8538630</v>
      </c>
      <c r="S76" s="26">
        <f>66179470+929052</f>
        <v>67108522</v>
      </c>
      <c r="T76" s="26">
        <v>129841584</v>
      </c>
      <c r="U76" s="27">
        <f t="shared" si="28"/>
        <v>256665272</v>
      </c>
    </row>
    <row r="77" spans="1:98" ht="18" customHeight="1" x14ac:dyDescent="0.3">
      <c r="A77" s="11">
        <v>2005</v>
      </c>
      <c r="B77" s="12" t="s">
        <v>9</v>
      </c>
      <c r="C77" s="25">
        <v>2999149787</v>
      </c>
      <c r="D77" s="26">
        <f t="shared" si="25"/>
        <v>106366444</v>
      </c>
      <c r="E77" s="27">
        <f t="shared" si="26"/>
        <v>261498787</v>
      </c>
      <c r="F77" s="28">
        <v>21984742</v>
      </c>
      <c r="G77" s="26">
        <v>794962</v>
      </c>
      <c r="H77" s="28">
        <v>1906944</v>
      </c>
      <c r="I77" s="29">
        <v>10240571</v>
      </c>
      <c r="J77" s="26">
        <v>6688698</v>
      </c>
      <c r="K77" s="28">
        <v>10799992</v>
      </c>
      <c r="L77" s="26">
        <f>31148533-583612</f>
        <v>30564921</v>
      </c>
      <c r="M77" s="26">
        <v>48072262</v>
      </c>
      <c r="N77" s="30">
        <f t="shared" si="27"/>
        <v>106366444</v>
      </c>
      <c r="O77" s="31">
        <v>405151304</v>
      </c>
      <c r="P77" s="32">
        <v>45014073</v>
      </c>
      <c r="Q77" s="26">
        <v>11050719</v>
      </c>
      <c r="R77" s="26">
        <v>8606809</v>
      </c>
      <c r="S77" s="26">
        <f>68288261-737911</f>
        <v>67550350</v>
      </c>
      <c r="T77" s="26">
        <v>129276836</v>
      </c>
      <c r="U77" s="27">
        <f t="shared" si="28"/>
        <v>261498787</v>
      </c>
    </row>
    <row r="78" spans="1:98" ht="18" customHeight="1" x14ac:dyDescent="0.3">
      <c r="A78" s="11">
        <v>2005</v>
      </c>
      <c r="B78" s="12" t="s">
        <v>10</v>
      </c>
      <c r="C78" s="25">
        <v>2929572871</v>
      </c>
      <c r="D78" s="26">
        <f t="shared" si="25"/>
        <v>106401569</v>
      </c>
      <c r="E78" s="27">
        <f t="shared" si="26"/>
        <v>258157704</v>
      </c>
      <c r="F78" s="28">
        <v>21189417</v>
      </c>
      <c r="G78" s="26">
        <v>774877</v>
      </c>
      <c r="H78" s="28">
        <v>1854705</v>
      </c>
      <c r="I78" s="29">
        <v>10413138</v>
      </c>
      <c r="J78" s="26">
        <v>6079985</v>
      </c>
      <c r="K78" s="28">
        <v>8518529</v>
      </c>
      <c r="L78" s="26">
        <f>34277344-19269</f>
        <v>34258075</v>
      </c>
      <c r="M78" s="26">
        <v>47131842</v>
      </c>
      <c r="N78" s="30">
        <f t="shared" si="27"/>
        <v>106401569</v>
      </c>
      <c r="O78" s="31">
        <v>418725108</v>
      </c>
      <c r="P78" s="32">
        <v>46743060</v>
      </c>
      <c r="Q78" s="26">
        <v>9744147</v>
      </c>
      <c r="R78" s="26">
        <v>6878251</v>
      </c>
      <c r="S78" s="26">
        <f>71862352-583721</f>
        <v>71278631</v>
      </c>
      <c r="T78" s="26">
        <v>123513615</v>
      </c>
      <c r="U78" s="27">
        <f t="shared" si="28"/>
        <v>258157704</v>
      </c>
    </row>
    <row r="79" spans="1:98" ht="18" customHeight="1" x14ac:dyDescent="0.3">
      <c r="A79" s="11">
        <v>2005</v>
      </c>
      <c r="B79" s="12" t="s">
        <v>11</v>
      </c>
      <c r="C79" s="25">
        <v>2994948383</v>
      </c>
      <c r="D79" s="26">
        <f t="shared" si="25"/>
        <v>111074392</v>
      </c>
      <c r="E79" s="27">
        <f t="shared" si="26"/>
        <v>265456947</v>
      </c>
      <c r="F79" s="28">
        <v>21738459</v>
      </c>
      <c r="G79" s="26">
        <v>799539</v>
      </c>
      <c r="H79" s="28">
        <v>1909740</v>
      </c>
      <c r="I79" s="29">
        <v>10232223</v>
      </c>
      <c r="J79" s="26">
        <v>6509963</v>
      </c>
      <c r="K79" s="28">
        <v>8014594</v>
      </c>
      <c r="L79" s="26">
        <f>36055777+192229</f>
        <v>36248006</v>
      </c>
      <c r="M79" s="26">
        <v>50069606</v>
      </c>
      <c r="N79" s="30">
        <f t="shared" si="27"/>
        <v>111074392</v>
      </c>
      <c r="O79" s="31">
        <v>421740467</v>
      </c>
      <c r="P79" s="32">
        <v>47061160</v>
      </c>
      <c r="Q79" s="26">
        <v>10047382</v>
      </c>
      <c r="R79" s="26">
        <v>7278846</v>
      </c>
      <c r="S79" s="26">
        <f>71568221+635288</f>
        <v>72203509</v>
      </c>
      <c r="T79" s="26">
        <v>128866050</v>
      </c>
      <c r="U79" s="27">
        <f t="shared" si="28"/>
        <v>265456947</v>
      </c>
    </row>
    <row r="80" spans="1:98" ht="18" customHeight="1" x14ac:dyDescent="0.3">
      <c r="A80" s="11">
        <v>2005</v>
      </c>
      <c r="B80" s="12" t="s">
        <v>12</v>
      </c>
      <c r="C80" s="25">
        <v>2906250059</v>
      </c>
      <c r="D80" s="26">
        <f t="shared" si="25"/>
        <v>108744712</v>
      </c>
      <c r="E80" s="27">
        <f t="shared" si="26"/>
        <v>258181075</v>
      </c>
      <c r="F80" s="28">
        <v>20921662</v>
      </c>
      <c r="G80" s="26">
        <v>772927</v>
      </c>
      <c r="H80" s="28">
        <v>1839339</v>
      </c>
      <c r="I80" s="29">
        <v>10112801</v>
      </c>
      <c r="J80" s="26">
        <v>7695857</v>
      </c>
      <c r="K80" s="28">
        <v>5900787</v>
      </c>
      <c r="L80" s="26">
        <f>35483558+171668</f>
        <v>35655226</v>
      </c>
      <c r="M80" s="26">
        <v>49380041</v>
      </c>
      <c r="N80" s="30">
        <f t="shared" si="27"/>
        <v>108744712</v>
      </c>
      <c r="O80" s="31">
        <v>407885181</v>
      </c>
      <c r="P80" s="32">
        <v>45354146</v>
      </c>
      <c r="Q80" s="26">
        <v>10490342</v>
      </c>
      <c r="R80" s="26">
        <v>5871984</v>
      </c>
      <c r="S80" s="26">
        <f>68538943+237785</f>
        <v>68776728</v>
      </c>
      <c r="T80" s="26">
        <v>127687875</v>
      </c>
      <c r="U80" s="27">
        <f t="shared" si="28"/>
        <v>258181075</v>
      </c>
    </row>
    <row r="81" spans="1:98" s="6" customFormat="1" ht="18" customHeight="1" thickBot="1" x14ac:dyDescent="0.35">
      <c r="A81" s="11">
        <v>2005</v>
      </c>
      <c r="B81" s="12" t="s">
        <v>13</v>
      </c>
      <c r="C81" s="25">
        <v>3029354996</v>
      </c>
      <c r="D81" s="26">
        <f t="shared" si="25"/>
        <v>114263530</v>
      </c>
      <c r="E81" s="27">
        <f t="shared" si="26"/>
        <v>269254340</v>
      </c>
      <c r="F81" s="28">
        <v>21925914</v>
      </c>
      <c r="G81" s="26">
        <v>808173</v>
      </c>
      <c r="H81" s="28">
        <v>1925966</v>
      </c>
      <c r="I81" s="29">
        <v>10158081</v>
      </c>
      <c r="J81" s="26">
        <v>7172869</v>
      </c>
      <c r="K81" s="28">
        <v>4015019</v>
      </c>
      <c r="L81" s="26">
        <f>42571953+621644</f>
        <v>43193597</v>
      </c>
      <c r="M81" s="26">
        <v>49723964</v>
      </c>
      <c r="N81" s="30">
        <f t="shared" si="27"/>
        <v>114263530</v>
      </c>
      <c r="O81" s="31">
        <v>399376135</v>
      </c>
      <c r="P81" s="32">
        <v>44367115</v>
      </c>
      <c r="Q81" s="26">
        <v>10280478</v>
      </c>
      <c r="R81" s="26">
        <v>4115214</v>
      </c>
      <c r="S81" s="26">
        <f>78080790+72953</f>
        <v>78153743</v>
      </c>
      <c r="T81" s="26">
        <v>132337790</v>
      </c>
      <c r="U81" s="27">
        <f t="shared" si="28"/>
        <v>269254340</v>
      </c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</row>
    <row r="82" spans="1:98" s="22" customFormat="1" ht="18" customHeight="1" thickTop="1" thickBot="1" x14ac:dyDescent="0.35">
      <c r="A82" s="20">
        <v>2005</v>
      </c>
      <c r="B82" s="21" t="s">
        <v>14</v>
      </c>
      <c r="C82" s="33">
        <f t="shared" ref="C82:U82" si="29">SUM(C70:C81)</f>
        <v>35677072275</v>
      </c>
      <c r="D82" s="34">
        <f t="shared" si="29"/>
        <v>1306674910</v>
      </c>
      <c r="E82" s="35">
        <f t="shared" si="29"/>
        <v>3137825639</v>
      </c>
      <c r="F82" s="36">
        <f t="shared" si="29"/>
        <v>256000766</v>
      </c>
      <c r="G82" s="34">
        <f t="shared" si="29"/>
        <v>9342087</v>
      </c>
      <c r="H82" s="36">
        <f t="shared" si="29"/>
        <v>22365117</v>
      </c>
      <c r="I82" s="37">
        <f t="shared" si="29"/>
        <v>119662950</v>
      </c>
      <c r="J82" s="34">
        <f t="shared" si="29"/>
        <v>73589104</v>
      </c>
      <c r="K82" s="36">
        <f t="shared" si="29"/>
        <v>95291369</v>
      </c>
      <c r="L82" s="34">
        <f t="shared" si="29"/>
        <v>425573488</v>
      </c>
      <c r="M82" s="34">
        <f t="shared" si="29"/>
        <v>592557999</v>
      </c>
      <c r="N82" s="38">
        <f t="shared" si="29"/>
        <v>1306674910</v>
      </c>
      <c r="O82" s="39">
        <f t="shared" si="29"/>
        <v>4786651517</v>
      </c>
      <c r="P82" s="40">
        <f t="shared" si="29"/>
        <v>531963018</v>
      </c>
      <c r="Q82" s="34">
        <f t="shared" si="29"/>
        <v>118776270</v>
      </c>
      <c r="R82" s="34">
        <f t="shared" si="29"/>
        <v>85155553</v>
      </c>
      <c r="S82" s="34">
        <f t="shared" si="29"/>
        <v>850913623</v>
      </c>
      <c r="T82" s="34">
        <f t="shared" si="29"/>
        <v>1551017175</v>
      </c>
      <c r="U82" s="35">
        <f t="shared" si="29"/>
        <v>3137825639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 ht="18" customHeight="1" thickTop="1" x14ac:dyDescent="0.3">
      <c r="A83" s="11">
        <v>2006</v>
      </c>
      <c r="B83" s="12" t="s">
        <v>2</v>
      </c>
      <c r="C83" s="25">
        <v>3081193292</v>
      </c>
      <c r="D83" s="26">
        <f t="shared" ref="D83:D94" si="30">+N83</f>
        <v>116075479</v>
      </c>
      <c r="E83" s="27">
        <f t="shared" ref="E83:E94" si="31">+U83</f>
        <v>273097516</v>
      </c>
      <c r="F83" s="28">
        <v>22161234</v>
      </c>
      <c r="G83" s="26">
        <v>813410</v>
      </c>
      <c r="H83" s="28">
        <v>1937697</v>
      </c>
      <c r="I83" s="29">
        <v>10122317</v>
      </c>
      <c r="J83" s="26">
        <v>5547887</v>
      </c>
      <c r="K83" s="28">
        <v>6718423</v>
      </c>
      <c r="L83" s="26">
        <f>42834667+501460</f>
        <v>43336127</v>
      </c>
      <c r="M83" s="26">
        <v>50350725</v>
      </c>
      <c r="N83" s="30">
        <f t="shared" ref="N83:N94" si="32">SUM(I83:M83)</f>
        <v>116075479</v>
      </c>
      <c r="O83" s="31">
        <v>422972963</v>
      </c>
      <c r="P83" s="32">
        <v>47101950</v>
      </c>
      <c r="Q83" s="26">
        <v>9779456</v>
      </c>
      <c r="R83" s="26">
        <v>6241677</v>
      </c>
      <c r="S83" s="26">
        <f>77408842+606646</f>
        <v>78015488</v>
      </c>
      <c r="T83" s="26">
        <v>131958945</v>
      </c>
      <c r="U83" s="27">
        <f t="shared" ref="U83:U94" si="33">SUM(P83:T83)</f>
        <v>273097516</v>
      </c>
    </row>
    <row r="84" spans="1:98" ht="18" customHeight="1" x14ac:dyDescent="0.3">
      <c r="A84" s="11">
        <v>2006</v>
      </c>
      <c r="B84" s="12" t="s">
        <v>3</v>
      </c>
      <c r="C84" s="25">
        <v>2888241672</v>
      </c>
      <c r="D84" s="26">
        <f t="shared" si="30"/>
        <v>107700628</v>
      </c>
      <c r="E84" s="27">
        <f t="shared" si="31"/>
        <v>255589329</v>
      </c>
      <c r="F84" s="28">
        <v>20293606</v>
      </c>
      <c r="G84" s="26">
        <v>739072</v>
      </c>
      <c r="H84" s="28">
        <v>1771801</v>
      </c>
      <c r="I84" s="29">
        <v>9226728</v>
      </c>
      <c r="J84" s="26">
        <v>5418750</v>
      </c>
      <c r="K84" s="28">
        <v>6091835</v>
      </c>
      <c r="L84" s="26">
        <f>40973744-568494</f>
        <v>40405250</v>
      </c>
      <c r="M84" s="26">
        <v>46558065</v>
      </c>
      <c r="N84" s="30">
        <f t="shared" si="32"/>
        <v>107700628</v>
      </c>
      <c r="O84" s="31">
        <v>374145625</v>
      </c>
      <c r="P84" s="32">
        <v>41699356</v>
      </c>
      <c r="Q84" s="26">
        <v>9555690</v>
      </c>
      <c r="R84" s="26">
        <v>6180151</v>
      </c>
      <c r="S84" s="26">
        <f>71840837+241264</f>
        <v>72082101</v>
      </c>
      <c r="T84" s="26">
        <v>126072031</v>
      </c>
      <c r="U84" s="27">
        <f t="shared" si="33"/>
        <v>255589329</v>
      </c>
    </row>
    <row r="85" spans="1:98" ht="18" customHeight="1" x14ac:dyDescent="0.3">
      <c r="A85" s="11">
        <v>2006</v>
      </c>
      <c r="B85" s="12" t="s">
        <v>4</v>
      </c>
      <c r="C85" s="25">
        <v>3253389969</v>
      </c>
      <c r="D85" s="26">
        <f t="shared" si="30"/>
        <v>121447457</v>
      </c>
      <c r="E85" s="27">
        <f t="shared" si="31"/>
        <v>288602683</v>
      </c>
      <c r="F85" s="28">
        <v>22430415</v>
      </c>
      <c r="G85" s="26">
        <v>818259</v>
      </c>
      <c r="H85" s="28">
        <v>1971717</v>
      </c>
      <c r="I85" s="29">
        <v>10632172</v>
      </c>
      <c r="J85" s="26">
        <v>6019000</v>
      </c>
      <c r="K85" s="28">
        <v>8196871</v>
      </c>
      <c r="L85" s="26">
        <f>44544653-423377</f>
        <v>44121276</v>
      </c>
      <c r="M85" s="26">
        <v>52478138</v>
      </c>
      <c r="N85" s="30">
        <f t="shared" si="32"/>
        <v>121447457</v>
      </c>
      <c r="O85" s="31">
        <v>432830451</v>
      </c>
      <c r="P85" s="32">
        <v>48304235</v>
      </c>
      <c r="Q85" s="26">
        <v>10195003</v>
      </c>
      <c r="R85" s="26">
        <v>7623762</v>
      </c>
      <c r="S85" s="26">
        <f>81619963-1231167</f>
        <v>80388796</v>
      </c>
      <c r="T85" s="26">
        <v>142090887</v>
      </c>
      <c r="U85" s="27">
        <f t="shared" si="33"/>
        <v>288602683</v>
      </c>
    </row>
    <row r="86" spans="1:98" ht="18" customHeight="1" x14ac:dyDescent="0.3">
      <c r="A86" s="11">
        <v>2006</v>
      </c>
      <c r="B86" s="12" t="s">
        <v>5</v>
      </c>
      <c r="C86" s="25">
        <v>3137789129</v>
      </c>
      <c r="D86" s="26">
        <f t="shared" si="30"/>
        <v>115924966</v>
      </c>
      <c r="E86" s="27">
        <f t="shared" si="31"/>
        <v>277063567</v>
      </c>
      <c r="F86" s="28">
        <v>21753910</v>
      </c>
      <c r="G86" s="26">
        <v>787271</v>
      </c>
      <c r="H86" s="28">
        <v>1902782</v>
      </c>
      <c r="I86" s="29">
        <v>9501154</v>
      </c>
      <c r="J86" s="26">
        <v>5859178</v>
      </c>
      <c r="K86" s="28">
        <v>7830074</v>
      </c>
      <c r="L86" s="26">
        <f>40137469+973252</f>
        <v>41110721</v>
      </c>
      <c r="M86" s="26">
        <v>51623839</v>
      </c>
      <c r="N86" s="30">
        <f t="shared" si="32"/>
        <v>115924966</v>
      </c>
      <c r="O86" s="31">
        <v>384980100</v>
      </c>
      <c r="P86" s="32">
        <v>42765463</v>
      </c>
      <c r="Q86" s="26">
        <v>9888005</v>
      </c>
      <c r="R86" s="26">
        <v>7382303</v>
      </c>
      <c r="S86" s="26">
        <f>76722360+1293615</f>
        <v>78015975</v>
      </c>
      <c r="T86" s="26">
        <v>139011821</v>
      </c>
      <c r="U86" s="27">
        <f t="shared" si="33"/>
        <v>277063567</v>
      </c>
    </row>
    <row r="87" spans="1:98" ht="18" customHeight="1" x14ac:dyDescent="0.3">
      <c r="A87" s="11">
        <v>2006</v>
      </c>
      <c r="B87" s="12" t="s">
        <v>6</v>
      </c>
      <c r="C87" s="25">
        <v>3203678441</v>
      </c>
      <c r="D87" s="26">
        <f t="shared" si="30"/>
        <v>114831390</v>
      </c>
      <c r="E87" s="27">
        <f t="shared" si="31"/>
        <v>280479093</v>
      </c>
      <c r="F87" s="28">
        <v>22682992</v>
      </c>
      <c r="G87" s="26">
        <v>818259</v>
      </c>
      <c r="H87" s="28">
        <v>1971717</v>
      </c>
      <c r="I87" s="29">
        <v>10080524</v>
      </c>
      <c r="J87" s="26">
        <v>6313098</v>
      </c>
      <c r="K87" s="28">
        <v>8781956</v>
      </c>
      <c r="L87" s="26">
        <f>39614952-1178658</f>
        <v>38436294</v>
      </c>
      <c r="M87" s="26">
        <v>51219518</v>
      </c>
      <c r="N87" s="30">
        <f t="shared" si="32"/>
        <v>114831390</v>
      </c>
      <c r="O87" s="31">
        <v>418192991</v>
      </c>
      <c r="P87" s="32">
        <v>46485191</v>
      </c>
      <c r="Q87" s="26">
        <v>10555802</v>
      </c>
      <c r="R87" s="26">
        <v>8104708</v>
      </c>
      <c r="S87" s="26">
        <f>75409949-516407</f>
        <v>74893542</v>
      </c>
      <c r="T87" s="26">
        <v>140439850</v>
      </c>
      <c r="U87" s="27">
        <f t="shared" si="33"/>
        <v>280479093</v>
      </c>
    </row>
    <row r="88" spans="1:98" ht="18" customHeight="1" x14ac:dyDescent="0.3">
      <c r="A88" s="11">
        <v>2006</v>
      </c>
      <c r="B88" s="12" t="s">
        <v>7</v>
      </c>
      <c r="C88" s="25">
        <v>3036537888</v>
      </c>
      <c r="D88" s="26">
        <f t="shared" si="30"/>
        <v>108485155</v>
      </c>
      <c r="E88" s="27">
        <f t="shared" si="31"/>
        <v>265159986</v>
      </c>
      <c r="F88" s="28">
        <v>22075142</v>
      </c>
      <c r="G88" s="26">
        <v>791863</v>
      </c>
      <c r="H88" s="28">
        <v>1908114</v>
      </c>
      <c r="I88" s="29">
        <v>9838490</v>
      </c>
      <c r="J88" s="26">
        <v>6050901</v>
      </c>
      <c r="K88" s="28">
        <v>9652554</v>
      </c>
      <c r="L88" s="26">
        <f>35398949-941458</f>
        <v>34457491</v>
      </c>
      <c r="M88" s="26">
        <v>48485719</v>
      </c>
      <c r="N88" s="30">
        <f t="shared" si="32"/>
        <v>108485155</v>
      </c>
      <c r="O88" s="31">
        <v>391162157</v>
      </c>
      <c r="P88" s="32">
        <v>43403401</v>
      </c>
      <c r="Q88" s="26">
        <v>9991992</v>
      </c>
      <c r="R88" s="26">
        <v>8679595</v>
      </c>
      <c r="S88" s="26">
        <f>72390424-1981940</f>
        <v>70408484</v>
      </c>
      <c r="T88" s="26">
        <v>132676514</v>
      </c>
      <c r="U88" s="27">
        <f t="shared" si="33"/>
        <v>265159986</v>
      </c>
    </row>
    <row r="89" spans="1:98" ht="18" customHeight="1" x14ac:dyDescent="0.3">
      <c r="A89" s="11">
        <v>2006</v>
      </c>
      <c r="B89" s="12" t="s">
        <v>8</v>
      </c>
      <c r="C89" s="25">
        <v>2948076768</v>
      </c>
      <c r="D89" s="26">
        <f t="shared" si="30"/>
        <v>104826243</v>
      </c>
      <c r="E89" s="27">
        <f t="shared" si="31"/>
        <v>254988667</v>
      </c>
      <c r="F89" s="28">
        <v>22859613</v>
      </c>
      <c r="G89" s="26">
        <v>813050</v>
      </c>
      <c r="H89" s="28">
        <v>1963798</v>
      </c>
      <c r="I89" s="29">
        <v>9769474</v>
      </c>
      <c r="J89" s="26">
        <v>5895931</v>
      </c>
      <c r="K89" s="28">
        <v>9600954</v>
      </c>
      <c r="L89" s="26">
        <f>30859516+921007</f>
        <v>31780523</v>
      </c>
      <c r="M89" s="26">
        <v>47779361</v>
      </c>
      <c r="N89" s="30">
        <f t="shared" si="32"/>
        <v>104826243</v>
      </c>
      <c r="O89" s="31">
        <v>384196224</v>
      </c>
      <c r="P89" s="32">
        <v>42598114</v>
      </c>
      <c r="Q89" s="26">
        <v>10568262</v>
      </c>
      <c r="R89" s="26">
        <v>8547015</v>
      </c>
      <c r="S89" s="26">
        <f>62371933+870242</f>
        <v>63242175</v>
      </c>
      <c r="T89" s="26">
        <v>130033101</v>
      </c>
      <c r="U89" s="27">
        <f t="shared" si="33"/>
        <v>254988667</v>
      </c>
    </row>
    <row r="90" spans="1:98" ht="18" customHeight="1" x14ac:dyDescent="0.3">
      <c r="A90" s="11">
        <v>2006</v>
      </c>
      <c r="B90" s="12" t="s">
        <v>9</v>
      </c>
      <c r="C90" s="25">
        <v>3115121167</v>
      </c>
      <c r="D90" s="26">
        <f t="shared" si="30"/>
        <v>110418087</v>
      </c>
      <c r="E90" s="27">
        <f t="shared" si="31"/>
        <v>272388053</v>
      </c>
      <c r="F90" s="28">
        <v>22811161</v>
      </c>
      <c r="G90" s="26">
        <v>818259</v>
      </c>
      <c r="H90" s="28">
        <v>1971717</v>
      </c>
      <c r="I90" s="29">
        <v>10413768</v>
      </c>
      <c r="J90" s="26">
        <v>7505356</v>
      </c>
      <c r="K90" s="28">
        <v>10447061</v>
      </c>
      <c r="L90" s="26">
        <f>31436444-317131</f>
        <v>31119313</v>
      </c>
      <c r="M90" s="26">
        <v>50932589</v>
      </c>
      <c r="N90" s="30">
        <f t="shared" si="32"/>
        <v>110418087</v>
      </c>
      <c r="O90" s="31">
        <v>418261500</v>
      </c>
      <c r="P90" s="32">
        <v>46485379</v>
      </c>
      <c r="Q90" s="26">
        <v>11434141</v>
      </c>
      <c r="R90" s="26">
        <v>8813860</v>
      </c>
      <c r="S90" s="26">
        <f>65977586-572793</f>
        <v>65404793</v>
      </c>
      <c r="T90" s="26">
        <v>140249880</v>
      </c>
      <c r="U90" s="27">
        <f t="shared" si="33"/>
        <v>272388053</v>
      </c>
    </row>
    <row r="91" spans="1:98" ht="18" customHeight="1" x14ac:dyDescent="0.3">
      <c r="A91" s="11">
        <v>2006</v>
      </c>
      <c r="B91" s="12" t="s">
        <v>10</v>
      </c>
      <c r="C91" s="25">
        <v>2979084353</v>
      </c>
      <c r="D91" s="26">
        <f t="shared" si="30"/>
        <v>108268812</v>
      </c>
      <c r="E91" s="27">
        <f t="shared" si="31"/>
        <v>262021545</v>
      </c>
      <c r="F91" s="28">
        <v>21756178</v>
      </c>
      <c r="G91" s="26">
        <v>786612</v>
      </c>
      <c r="H91" s="28">
        <v>1900847</v>
      </c>
      <c r="I91" s="29">
        <v>9749348</v>
      </c>
      <c r="J91" s="26">
        <v>6586749</v>
      </c>
      <c r="K91" s="28">
        <v>7632680</v>
      </c>
      <c r="L91" s="26">
        <f>33410655+738492</f>
        <v>34149147</v>
      </c>
      <c r="M91" s="26">
        <v>50150888</v>
      </c>
      <c r="N91" s="30">
        <f t="shared" si="32"/>
        <v>108268812</v>
      </c>
      <c r="O91" s="31">
        <v>406298944</v>
      </c>
      <c r="P91" s="32">
        <v>45278907</v>
      </c>
      <c r="Q91" s="26">
        <v>10481173</v>
      </c>
      <c r="R91" s="26">
        <v>6245941</v>
      </c>
      <c r="S91" s="26">
        <f>64861033+1301030</f>
        <v>66162063</v>
      </c>
      <c r="T91" s="26">
        <v>133853461</v>
      </c>
      <c r="U91" s="27">
        <f t="shared" si="33"/>
        <v>262021545</v>
      </c>
    </row>
    <row r="92" spans="1:98" ht="18" customHeight="1" x14ac:dyDescent="0.3">
      <c r="A92" s="11">
        <v>2006</v>
      </c>
      <c r="B92" s="12" t="s">
        <v>11</v>
      </c>
      <c r="C92" s="25">
        <v>3059971380</v>
      </c>
      <c r="D92" s="26">
        <f t="shared" si="30"/>
        <v>113016575</v>
      </c>
      <c r="E92" s="27">
        <f t="shared" si="31"/>
        <v>271214684</v>
      </c>
      <c r="F92" s="28">
        <v>22386568</v>
      </c>
      <c r="G92" s="26">
        <v>818259</v>
      </c>
      <c r="H92" s="28">
        <v>1971717</v>
      </c>
      <c r="I92" s="29">
        <v>10471987</v>
      </c>
      <c r="J92" s="26">
        <v>6986990</v>
      </c>
      <c r="K92" s="28">
        <v>6860753</v>
      </c>
      <c r="L92" s="26">
        <f>36880220-110588</f>
        <v>36769632</v>
      </c>
      <c r="M92" s="26">
        <v>51927213</v>
      </c>
      <c r="N92" s="30">
        <f t="shared" si="32"/>
        <v>113016575</v>
      </c>
      <c r="O92" s="31">
        <v>441755242</v>
      </c>
      <c r="P92" s="32">
        <v>49027519</v>
      </c>
      <c r="Q92" s="26">
        <v>11750153</v>
      </c>
      <c r="R92" s="26">
        <v>6468877</v>
      </c>
      <c r="S92" s="26">
        <f>67881016-51399</f>
        <v>67829617</v>
      </c>
      <c r="T92" s="26">
        <v>136138518</v>
      </c>
      <c r="U92" s="27">
        <f t="shared" si="33"/>
        <v>271214684</v>
      </c>
    </row>
    <row r="93" spans="1:98" ht="18" customHeight="1" x14ac:dyDescent="0.3">
      <c r="A93" s="11">
        <v>2006</v>
      </c>
      <c r="B93" s="12" t="s">
        <v>12</v>
      </c>
      <c r="C93" s="25">
        <v>2976977143</v>
      </c>
      <c r="D93" s="26">
        <f t="shared" si="30"/>
        <v>110653929</v>
      </c>
      <c r="E93" s="27">
        <f t="shared" si="31"/>
        <v>264434060</v>
      </c>
      <c r="F93" s="28">
        <v>20901620</v>
      </c>
      <c r="G93" s="26">
        <v>764263</v>
      </c>
      <c r="H93" s="28">
        <v>1839408</v>
      </c>
      <c r="I93" s="29">
        <v>10058942</v>
      </c>
      <c r="J93" s="26">
        <v>8223379</v>
      </c>
      <c r="K93" s="28">
        <v>6281373</v>
      </c>
      <c r="L93" s="26">
        <f>36625045+201366</f>
        <v>36826411</v>
      </c>
      <c r="M93" s="26">
        <v>49263824</v>
      </c>
      <c r="N93" s="30">
        <f t="shared" si="32"/>
        <v>110653929</v>
      </c>
      <c r="O93" s="31">
        <v>414765480</v>
      </c>
      <c r="P93" s="32">
        <v>46170063</v>
      </c>
      <c r="Q93" s="26">
        <v>11057281</v>
      </c>
      <c r="R93" s="26">
        <v>6003986</v>
      </c>
      <c r="S93" s="26">
        <f>70928905+278466</f>
        <v>71207371</v>
      </c>
      <c r="T93" s="26">
        <v>129995359</v>
      </c>
      <c r="U93" s="27">
        <f t="shared" si="33"/>
        <v>264434060</v>
      </c>
    </row>
    <row r="94" spans="1:98" s="6" customFormat="1" ht="18" customHeight="1" thickBot="1" x14ac:dyDescent="0.35">
      <c r="A94" s="13">
        <v>2006</v>
      </c>
      <c r="B94" s="7" t="s">
        <v>13</v>
      </c>
      <c r="C94" s="41">
        <v>3135626270</v>
      </c>
      <c r="D94" s="42">
        <f t="shared" si="30"/>
        <v>118494368</v>
      </c>
      <c r="E94" s="43">
        <f t="shared" si="31"/>
        <v>278391337</v>
      </c>
      <c r="F94" s="44">
        <v>21574853</v>
      </c>
      <c r="G94" s="42">
        <v>789739</v>
      </c>
      <c r="H94" s="44">
        <v>1897852</v>
      </c>
      <c r="I94" s="45">
        <v>10126018</v>
      </c>
      <c r="J94" s="42">
        <v>7036926</v>
      </c>
      <c r="K94" s="44">
        <v>4079507</v>
      </c>
      <c r="L94" s="42">
        <f>42290685+1564793</f>
        <v>43855478</v>
      </c>
      <c r="M94" s="42">
        <v>53396439</v>
      </c>
      <c r="N94" s="46">
        <f t="shared" si="32"/>
        <v>118494368</v>
      </c>
      <c r="O94" s="47">
        <v>406353154</v>
      </c>
      <c r="P94" s="48">
        <v>45166922</v>
      </c>
      <c r="Q94" s="42">
        <v>10842272</v>
      </c>
      <c r="R94" s="42">
        <v>4053204</v>
      </c>
      <c r="S94" s="42">
        <f>77976218+299312</f>
        <v>78275530</v>
      </c>
      <c r="T94" s="42">
        <v>140053409</v>
      </c>
      <c r="U94" s="43">
        <f t="shared" si="33"/>
        <v>278391337</v>
      </c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</row>
    <row r="95" spans="1:98" s="22" customFormat="1" ht="18" customHeight="1" thickTop="1" thickBot="1" x14ac:dyDescent="0.35">
      <c r="A95" s="18">
        <v>2006</v>
      </c>
      <c r="B95" s="19" t="s">
        <v>14</v>
      </c>
      <c r="C95" s="49">
        <f t="shared" ref="C95:U95" si="34">SUM(C83:C94)</f>
        <v>36815687472</v>
      </c>
      <c r="D95" s="50">
        <f t="shared" si="34"/>
        <v>1350143089</v>
      </c>
      <c r="E95" s="51">
        <f t="shared" si="34"/>
        <v>3243430520</v>
      </c>
      <c r="F95" s="52">
        <f t="shared" si="34"/>
        <v>263687292</v>
      </c>
      <c r="G95" s="50">
        <f t="shared" si="34"/>
        <v>9558316</v>
      </c>
      <c r="H95" s="52">
        <f t="shared" si="34"/>
        <v>23009167</v>
      </c>
      <c r="I95" s="53">
        <f t="shared" si="34"/>
        <v>119990922</v>
      </c>
      <c r="J95" s="50">
        <f t="shared" si="34"/>
        <v>77444145</v>
      </c>
      <c r="K95" s="52">
        <f t="shared" si="34"/>
        <v>92174041</v>
      </c>
      <c r="L95" s="50">
        <f t="shared" si="34"/>
        <v>456367663</v>
      </c>
      <c r="M95" s="50">
        <f t="shared" si="34"/>
        <v>604166318</v>
      </c>
      <c r="N95" s="54">
        <f t="shared" si="34"/>
        <v>1350143089</v>
      </c>
      <c r="O95" s="55">
        <f t="shared" si="34"/>
        <v>4895914831</v>
      </c>
      <c r="P95" s="56">
        <f t="shared" si="34"/>
        <v>544486500</v>
      </c>
      <c r="Q95" s="50">
        <f t="shared" si="34"/>
        <v>126099230</v>
      </c>
      <c r="R95" s="50">
        <f t="shared" si="34"/>
        <v>84345079</v>
      </c>
      <c r="S95" s="50">
        <f t="shared" si="34"/>
        <v>865925935</v>
      </c>
      <c r="T95" s="50">
        <f t="shared" si="34"/>
        <v>1622573776</v>
      </c>
      <c r="U95" s="51">
        <f t="shared" si="34"/>
        <v>3243430520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 ht="18" customHeight="1" thickTop="1" x14ac:dyDescent="0.3">
      <c r="A96" s="11">
        <v>2007</v>
      </c>
      <c r="B96" s="12" t="s">
        <v>2</v>
      </c>
      <c r="C96" s="25">
        <v>3195511507</v>
      </c>
      <c r="D96" s="26">
        <f t="shared" ref="D96:D107" si="35">+N96</f>
        <v>121268907</v>
      </c>
      <c r="E96" s="27">
        <f t="shared" ref="E96:E107" si="36">+U96</f>
        <v>283629737</v>
      </c>
      <c r="F96" s="28">
        <v>21672931</v>
      </c>
      <c r="G96" s="26">
        <v>789739</v>
      </c>
      <c r="H96" s="28">
        <v>1900721</v>
      </c>
      <c r="I96" s="29">
        <v>10542432</v>
      </c>
      <c r="J96" s="26">
        <v>6016691</v>
      </c>
      <c r="K96" s="28">
        <v>6004043</v>
      </c>
      <c r="L96" s="26">
        <f>46708852-1127145</f>
        <v>45581707</v>
      </c>
      <c r="M96" s="26">
        <v>53124034</v>
      </c>
      <c r="N96" s="30">
        <f t="shared" ref="N96:N107" si="37">SUM(I96:M96)</f>
        <v>121268907</v>
      </c>
      <c r="O96" s="31">
        <v>440094381</v>
      </c>
      <c r="P96" s="32">
        <v>48877249</v>
      </c>
      <c r="Q96" s="26">
        <v>10898622</v>
      </c>
      <c r="R96" s="26">
        <v>6188682</v>
      </c>
      <c r="S96" s="26">
        <f>75983301+77204</f>
        <v>76060505</v>
      </c>
      <c r="T96" s="26">
        <v>141604679</v>
      </c>
      <c r="U96" s="27">
        <f t="shared" ref="U96:U107" si="38">SUM(P96:T96)</f>
        <v>283629737</v>
      </c>
    </row>
    <row r="97" spans="1:98" ht="18" customHeight="1" x14ac:dyDescent="0.3">
      <c r="A97" s="11">
        <v>2006</v>
      </c>
      <c r="B97" s="12" t="s">
        <v>3</v>
      </c>
      <c r="C97" s="25">
        <v>2979476804</v>
      </c>
      <c r="D97" s="26">
        <f t="shared" si="35"/>
        <v>111281228</v>
      </c>
      <c r="E97" s="27">
        <f t="shared" si="36"/>
        <v>263014147</v>
      </c>
      <c r="F97" s="28">
        <v>19674064</v>
      </c>
      <c r="G97" s="26">
        <v>712312</v>
      </c>
      <c r="H97" s="28">
        <v>1716780</v>
      </c>
      <c r="I97" s="29">
        <v>9236606</v>
      </c>
      <c r="J97" s="26">
        <v>5440305</v>
      </c>
      <c r="K97" s="28">
        <v>6701876</v>
      </c>
      <c r="L97" s="26">
        <f>41654092+68264</f>
        <v>41722356</v>
      </c>
      <c r="M97" s="26">
        <v>48180085</v>
      </c>
      <c r="N97" s="30">
        <f t="shared" si="37"/>
        <v>111281228</v>
      </c>
      <c r="O97" s="31">
        <v>385647310</v>
      </c>
      <c r="P97" s="32">
        <v>42673481</v>
      </c>
      <c r="Q97" s="26">
        <v>9462475</v>
      </c>
      <c r="R97" s="26">
        <v>6638702</v>
      </c>
      <c r="S97" s="26">
        <f>72534536-472990</f>
        <v>72061546</v>
      </c>
      <c r="T97" s="26">
        <v>132177943</v>
      </c>
      <c r="U97" s="27">
        <f t="shared" si="38"/>
        <v>263014147</v>
      </c>
    </row>
    <row r="98" spans="1:98" ht="18" customHeight="1" x14ac:dyDescent="0.3">
      <c r="A98" s="11">
        <v>2007</v>
      </c>
      <c r="B98" s="12" t="s">
        <v>4</v>
      </c>
      <c r="C98" s="25">
        <v>3357490999</v>
      </c>
      <c r="D98" s="26">
        <f t="shared" si="35"/>
        <v>123842860</v>
      </c>
      <c r="E98" s="27">
        <f t="shared" si="36"/>
        <v>295352700</v>
      </c>
      <c r="F98" s="28">
        <v>21811725</v>
      </c>
      <c r="G98" s="26">
        <v>789739</v>
      </c>
      <c r="H98" s="28">
        <v>1900721</v>
      </c>
      <c r="I98" s="29">
        <v>10156961</v>
      </c>
      <c r="J98" s="26">
        <v>6637275</v>
      </c>
      <c r="K98" s="28">
        <v>7698313</v>
      </c>
      <c r="L98" s="26">
        <f>44974825+118366</f>
        <v>45093191</v>
      </c>
      <c r="M98" s="26">
        <v>54257120</v>
      </c>
      <c r="N98" s="30">
        <f t="shared" si="37"/>
        <v>123842860</v>
      </c>
      <c r="O98" s="31">
        <v>425991682</v>
      </c>
      <c r="P98" s="32">
        <v>47147578</v>
      </c>
      <c r="Q98" s="26">
        <v>11363120</v>
      </c>
      <c r="R98" s="26">
        <v>7770009</v>
      </c>
      <c r="S98" s="26">
        <f>78957712+703667</f>
        <v>79661379</v>
      </c>
      <c r="T98" s="26">
        <v>149410614</v>
      </c>
      <c r="U98" s="27">
        <f t="shared" si="38"/>
        <v>295352700</v>
      </c>
    </row>
    <row r="99" spans="1:98" ht="18" customHeight="1" x14ac:dyDescent="0.3">
      <c r="A99" s="11">
        <v>2007</v>
      </c>
      <c r="B99" s="12" t="s">
        <v>5</v>
      </c>
      <c r="C99" s="25">
        <v>3256061174</v>
      </c>
      <c r="D99" s="26">
        <f t="shared" si="35"/>
        <v>118337420</v>
      </c>
      <c r="E99" s="27">
        <f t="shared" si="36"/>
        <v>286511269</v>
      </c>
      <c r="F99" s="28">
        <v>21036343</v>
      </c>
      <c r="G99" s="26">
        <v>763568</v>
      </c>
      <c r="H99" s="28">
        <v>1839408</v>
      </c>
      <c r="I99" s="29">
        <v>10331763</v>
      </c>
      <c r="J99" s="26">
        <v>6607228</v>
      </c>
      <c r="K99" s="28">
        <v>8741338</v>
      </c>
      <c r="L99" s="26">
        <f>42484409-558013</f>
        <v>41926396</v>
      </c>
      <c r="M99" s="26">
        <v>50730695</v>
      </c>
      <c r="N99" s="30">
        <f t="shared" si="37"/>
        <v>118337420</v>
      </c>
      <c r="O99" s="31">
        <v>417846535</v>
      </c>
      <c r="P99" s="32">
        <v>46350000</v>
      </c>
      <c r="Q99" s="26">
        <v>10531813</v>
      </c>
      <c r="R99" s="26">
        <v>10316833</v>
      </c>
      <c r="S99" s="26">
        <f>78200805-432307</f>
        <v>77768498</v>
      </c>
      <c r="T99" s="26">
        <v>141544125</v>
      </c>
      <c r="U99" s="27">
        <f t="shared" si="38"/>
        <v>286511269</v>
      </c>
    </row>
    <row r="100" spans="1:98" ht="18" customHeight="1" x14ac:dyDescent="0.3">
      <c r="A100" s="11">
        <v>2007</v>
      </c>
      <c r="B100" s="12" t="s">
        <v>6</v>
      </c>
      <c r="C100" s="25">
        <v>3280493557</v>
      </c>
      <c r="D100" s="26">
        <f t="shared" si="35"/>
        <v>117581620</v>
      </c>
      <c r="E100" s="27">
        <f t="shared" si="36"/>
        <v>288462665</v>
      </c>
      <c r="F100" s="28">
        <v>21757546</v>
      </c>
      <c r="G100" s="26">
        <v>789739</v>
      </c>
      <c r="H100" s="28">
        <v>1900721</v>
      </c>
      <c r="I100" s="29">
        <v>10351468</v>
      </c>
      <c r="J100" s="26">
        <v>7823818</v>
      </c>
      <c r="K100" s="28">
        <v>10052889</v>
      </c>
      <c r="L100" s="26">
        <f>38673933-1092032</f>
        <v>37581901</v>
      </c>
      <c r="M100" s="26">
        <v>51771544</v>
      </c>
      <c r="N100" s="30">
        <f t="shared" si="37"/>
        <v>117581620</v>
      </c>
      <c r="O100" s="31">
        <v>435970837</v>
      </c>
      <c r="P100" s="32">
        <v>48547234</v>
      </c>
      <c r="Q100" s="26">
        <v>11411154</v>
      </c>
      <c r="R100" s="26">
        <v>9828947</v>
      </c>
      <c r="S100" s="26">
        <f>73742745-1276005</f>
        <v>72466740</v>
      </c>
      <c r="T100" s="26">
        <v>146208590</v>
      </c>
      <c r="U100" s="27">
        <f t="shared" si="38"/>
        <v>288462665</v>
      </c>
    </row>
    <row r="101" spans="1:98" ht="18" customHeight="1" x14ac:dyDescent="0.3">
      <c r="A101" s="11">
        <v>2007</v>
      </c>
      <c r="B101" s="12" t="s">
        <v>7</v>
      </c>
      <c r="C101" s="25">
        <v>3150118076</v>
      </c>
      <c r="D101" s="26">
        <f t="shared" si="35"/>
        <v>112854587</v>
      </c>
      <c r="E101" s="27">
        <f t="shared" si="36"/>
        <v>276080961</v>
      </c>
      <c r="F101" s="28">
        <v>21155689</v>
      </c>
      <c r="G101" s="26">
        <v>764263</v>
      </c>
      <c r="H101" s="28">
        <v>1839408</v>
      </c>
      <c r="I101" s="29">
        <v>9615069</v>
      </c>
      <c r="J101" s="26">
        <v>7247378</v>
      </c>
      <c r="K101" s="28">
        <v>9477391</v>
      </c>
      <c r="L101" s="26">
        <f>35505113+1189722</f>
        <v>36694835</v>
      </c>
      <c r="M101" s="26">
        <v>49819914</v>
      </c>
      <c r="N101" s="30">
        <f t="shared" si="37"/>
        <v>112854587</v>
      </c>
      <c r="O101" s="31">
        <v>386835574</v>
      </c>
      <c r="P101" s="32">
        <v>42874628</v>
      </c>
      <c r="Q101" s="26">
        <v>11333235</v>
      </c>
      <c r="R101" s="26">
        <v>9513451</v>
      </c>
      <c r="S101" s="26">
        <f>72566251+1723516</f>
        <v>74289767</v>
      </c>
      <c r="T101" s="26">
        <v>138069880</v>
      </c>
      <c r="U101" s="27">
        <f t="shared" si="38"/>
        <v>276080961</v>
      </c>
    </row>
    <row r="102" spans="1:98" ht="18" customHeight="1" x14ac:dyDescent="0.3">
      <c r="A102" s="11">
        <v>2007</v>
      </c>
      <c r="B102" s="12" t="s">
        <v>8</v>
      </c>
      <c r="C102" s="25">
        <v>3266618425</v>
      </c>
      <c r="D102" s="26">
        <f t="shared" si="35"/>
        <v>116309808</v>
      </c>
      <c r="E102" s="27">
        <f t="shared" si="36"/>
        <v>285151830</v>
      </c>
      <c r="F102" s="28">
        <f>13362852+8515666</f>
        <v>21878518</v>
      </c>
      <c r="G102" s="26">
        <f>476038+309051</f>
        <v>785089</v>
      </c>
      <c r="H102" s="28">
        <f>1160822+727691</f>
        <v>1888513</v>
      </c>
      <c r="I102" s="29">
        <v>10708264</v>
      </c>
      <c r="J102" s="26">
        <v>7417295</v>
      </c>
      <c r="K102" s="28">
        <v>9006407</v>
      </c>
      <c r="L102" s="26">
        <f>38428224-43447</f>
        <v>38384777</v>
      </c>
      <c r="M102" s="26">
        <v>50793065</v>
      </c>
      <c r="N102" s="30">
        <f t="shared" si="37"/>
        <v>116309808</v>
      </c>
      <c r="O102" s="31">
        <v>413771452</v>
      </c>
      <c r="P102" s="32">
        <v>45707413</v>
      </c>
      <c r="Q102" s="26">
        <v>11641329</v>
      </c>
      <c r="R102" s="26">
        <v>9533452</v>
      </c>
      <c r="S102" s="26">
        <f>77651461-608111</f>
        <v>77043350</v>
      </c>
      <c r="T102" s="26">
        <v>141226286</v>
      </c>
      <c r="U102" s="27">
        <f t="shared" si="38"/>
        <v>285151830</v>
      </c>
    </row>
    <row r="103" spans="1:98" ht="18" customHeight="1" x14ac:dyDescent="0.3">
      <c r="A103" s="11">
        <v>2007</v>
      </c>
      <c r="B103" s="12" t="s">
        <v>9</v>
      </c>
      <c r="C103" s="25">
        <v>3255951506</v>
      </c>
      <c r="D103" s="26">
        <f t="shared" si="35"/>
        <v>116278917</v>
      </c>
      <c r="E103" s="27">
        <f t="shared" si="36"/>
        <v>284096043</v>
      </c>
      <c r="F103" s="28">
        <v>21724174</v>
      </c>
      <c r="G103" s="26">
        <v>776610</v>
      </c>
      <c r="H103" s="28">
        <v>1876978</v>
      </c>
      <c r="I103" s="29">
        <v>10923945</v>
      </c>
      <c r="J103" s="26">
        <v>6730130</v>
      </c>
      <c r="K103" s="28">
        <v>7811262</v>
      </c>
      <c r="L103" s="26">
        <f>40626550-274742</f>
        <v>40351808</v>
      </c>
      <c r="M103" s="26">
        <v>50461772</v>
      </c>
      <c r="N103" s="30">
        <f t="shared" si="37"/>
        <v>116278917</v>
      </c>
      <c r="O103" s="31">
        <v>434362381</v>
      </c>
      <c r="P103" s="32">
        <v>48020998</v>
      </c>
      <c r="Q103" s="26">
        <v>12078604</v>
      </c>
      <c r="R103" s="26">
        <v>8445684</v>
      </c>
      <c r="S103" s="26">
        <f>77158875-1918632</f>
        <v>75240243</v>
      </c>
      <c r="T103" s="26">
        <v>140310514</v>
      </c>
      <c r="U103" s="27">
        <f t="shared" si="38"/>
        <v>284096043</v>
      </c>
    </row>
    <row r="104" spans="1:98" ht="18" customHeight="1" x14ac:dyDescent="0.3">
      <c r="A104" s="11">
        <v>2007</v>
      </c>
      <c r="B104" s="12" t="s">
        <v>10</v>
      </c>
      <c r="C104" s="25">
        <v>3067091217</v>
      </c>
      <c r="D104" s="26">
        <f t="shared" si="35"/>
        <v>108026458</v>
      </c>
      <c r="E104" s="27">
        <f t="shared" si="36"/>
        <v>264088951</v>
      </c>
      <c r="F104" s="28">
        <v>20739696</v>
      </c>
      <c r="G104" s="26">
        <v>746997</v>
      </c>
      <c r="H104" s="28">
        <v>1801808</v>
      </c>
      <c r="I104" s="29">
        <v>10137217</v>
      </c>
      <c r="J104" s="26">
        <v>6137202</v>
      </c>
      <c r="K104" s="28">
        <v>6326617</v>
      </c>
      <c r="L104" s="26">
        <f>39529398-1235103</f>
        <v>38294295</v>
      </c>
      <c r="M104" s="26">
        <v>47131127</v>
      </c>
      <c r="N104" s="30">
        <f t="shared" si="37"/>
        <v>108026458</v>
      </c>
      <c r="O104" s="31">
        <v>410139637</v>
      </c>
      <c r="P104" s="32">
        <v>45607183</v>
      </c>
      <c r="Q104" s="26">
        <v>11900419</v>
      </c>
      <c r="R104" s="26">
        <v>6588102</v>
      </c>
      <c r="S104" s="26">
        <f>71026926-1489284</f>
        <v>69537642</v>
      </c>
      <c r="T104" s="26">
        <v>130455605</v>
      </c>
      <c r="U104" s="27">
        <f t="shared" si="38"/>
        <v>264088951</v>
      </c>
    </row>
    <row r="105" spans="1:98" ht="18" customHeight="1" x14ac:dyDescent="0.3">
      <c r="A105" s="11">
        <v>2007</v>
      </c>
      <c r="B105" s="12" t="s">
        <v>11</v>
      </c>
      <c r="C105" s="25">
        <v>3226261315</v>
      </c>
      <c r="D105" s="26">
        <f t="shared" si="35"/>
        <v>119673483</v>
      </c>
      <c r="E105" s="27">
        <f t="shared" si="36"/>
        <v>285734030</v>
      </c>
      <c r="F105" s="28">
        <v>21386259</v>
      </c>
      <c r="G105" s="26">
        <v>773864</v>
      </c>
      <c r="H105" s="28">
        <v>1869811</v>
      </c>
      <c r="I105" s="29">
        <v>11268625</v>
      </c>
      <c r="J105" s="26">
        <v>7406836</v>
      </c>
      <c r="K105" s="28">
        <v>6898137</v>
      </c>
      <c r="L105" s="26">
        <f>45666645-1681928</f>
        <v>43984717</v>
      </c>
      <c r="M105" s="26">
        <v>50115168</v>
      </c>
      <c r="N105" s="30">
        <f t="shared" si="37"/>
        <v>119673483</v>
      </c>
      <c r="O105" s="31">
        <v>455987117</v>
      </c>
      <c r="P105" s="32">
        <v>50926973</v>
      </c>
      <c r="Q105" s="26">
        <v>11949732</v>
      </c>
      <c r="R105" s="26">
        <v>6690684</v>
      </c>
      <c r="S105" s="26">
        <f>83027254-1916541</f>
        <v>81110713</v>
      </c>
      <c r="T105" s="26">
        <v>135055928</v>
      </c>
      <c r="U105" s="27">
        <f t="shared" si="38"/>
        <v>285734030</v>
      </c>
    </row>
    <row r="106" spans="1:98" ht="18" customHeight="1" x14ac:dyDescent="0.3">
      <c r="A106" s="11">
        <v>2007</v>
      </c>
      <c r="B106" s="12" t="s">
        <v>12</v>
      </c>
      <c r="C106" s="25">
        <v>3165305574</v>
      </c>
      <c r="D106" s="26">
        <f t="shared" si="35"/>
        <v>117448369</v>
      </c>
      <c r="E106" s="27">
        <f t="shared" si="36"/>
        <v>280083788</v>
      </c>
      <c r="F106" s="28">
        <v>20735934</v>
      </c>
      <c r="G106" s="26">
        <v>748349</v>
      </c>
      <c r="H106" s="28">
        <v>1810256</v>
      </c>
      <c r="I106" s="29">
        <v>10734571</v>
      </c>
      <c r="J106" s="26">
        <v>7668600</v>
      </c>
      <c r="K106" s="28">
        <v>5961676</v>
      </c>
      <c r="L106" s="26">
        <f>42568658+859766</f>
        <v>43428424</v>
      </c>
      <c r="M106" s="26">
        <v>49655098</v>
      </c>
      <c r="N106" s="30">
        <f t="shared" si="37"/>
        <v>117448369</v>
      </c>
      <c r="O106" s="31">
        <v>434408357</v>
      </c>
      <c r="P106" s="32">
        <v>48151131</v>
      </c>
      <c r="Q106" s="26">
        <v>10893400</v>
      </c>
      <c r="R106" s="26">
        <v>5880725</v>
      </c>
      <c r="S106" s="26">
        <f>80105851+480189</f>
        <v>80586040</v>
      </c>
      <c r="T106" s="26">
        <v>134572492</v>
      </c>
      <c r="U106" s="27">
        <f t="shared" si="38"/>
        <v>280083788</v>
      </c>
    </row>
    <row r="107" spans="1:98" s="6" customFormat="1" ht="18" customHeight="1" thickBot="1" x14ac:dyDescent="0.35">
      <c r="A107" s="11">
        <v>2007</v>
      </c>
      <c r="B107" s="12" t="s">
        <v>13</v>
      </c>
      <c r="C107" s="25">
        <v>3314222006</v>
      </c>
      <c r="D107" s="26">
        <f t="shared" si="35"/>
        <v>125436263</v>
      </c>
      <c r="E107" s="27">
        <f t="shared" si="36"/>
        <v>294460464</v>
      </c>
      <c r="F107" s="28">
        <v>21094747</v>
      </c>
      <c r="G107" s="26">
        <v>768595</v>
      </c>
      <c r="H107" s="28">
        <v>1848979</v>
      </c>
      <c r="I107" s="29">
        <v>11186794</v>
      </c>
      <c r="J107" s="26">
        <v>6589902</v>
      </c>
      <c r="K107" s="28">
        <v>3487424</v>
      </c>
      <c r="L107" s="26">
        <f>53036204+837243</f>
        <v>53873447</v>
      </c>
      <c r="M107" s="26">
        <v>50298696</v>
      </c>
      <c r="N107" s="30">
        <f t="shared" si="37"/>
        <v>125436263</v>
      </c>
      <c r="O107" s="31">
        <v>438015761</v>
      </c>
      <c r="P107" s="32">
        <v>48557477</v>
      </c>
      <c r="Q107" s="26">
        <v>10504485</v>
      </c>
      <c r="R107" s="26">
        <v>4535821</v>
      </c>
      <c r="S107" s="26">
        <f>91027532+130583</f>
        <v>91158115</v>
      </c>
      <c r="T107" s="26">
        <v>139704566</v>
      </c>
      <c r="U107" s="27">
        <f t="shared" si="38"/>
        <v>294460464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</row>
    <row r="108" spans="1:98" s="22" customFormat="1" ht="18" customHeight="1" thickTop="1" thickBot="1" x14ac:dyDescent="0.35">
      <c r="A108" s="20">
        <v>2007</v>
      </c>
      <c r="B108" s="21" t="s">
        <v>14</v>
      </c>
      <c r="C108" s="33">
        <f t="shared" ref="C108:U108" si="39">SUM(C96:C107)</f>
        <v>38514602160</v>
      </c>
      <c r="D108" s="34">
        <f t="shared" si="39"/>
        <v>1408339920</v>
      </c>
      <c r="E108" s="35">
        <f t="shared" si="39"/>
        <v>3386666585</v>
      </c>
      <c r="F108" s="36">
        <f t="shared" si="39"/>
        <v>254667626</v>
      </c>
      <c r="G108" s="34">
        <f t="shared" si="39"/>
        <v>9208864</v>
      </c>
      <c r="H108" s="36">
        <f t="shared" si="39"/>
        <v>22194104</v>
      </c>
      <c r="I108" s="37">
        <f t="shared" si="39"/>
        <v>125193715</v>
      </c>
      <c r="J108" s="34">
        <f t="shared" si="39"/>
        <v>81722660</v>
      </c>
      <c r="K108" s="36">
        <f t="shared" si="39"/>
        <v>88167373</v>
      </c>
      <c r="L108" s="34">
        <f t="shared" si="39"/>
        <v>506917854</v>
      </c>
      <c r="M108" s="34">
        <f t="shared" si="39"/>
        <v>606338318</v>
      </c>
      <c r="N108" s="38">
        <f t="shared" si="39"/>
        <v>1408339920</v>
      </c>
      <c r="O108" s="39">
        <f t="shared" si="39"/>
        <v>5079071024</v>
      </c>
      <c r="P108" s="40">
        <f t="shared" si="39"/>
        <v>563441345</v>
      </c>
      <c r="Q108" s="34">
        <f t="shared" si="39"/>
        <v>133968388</v>
      </c>
      <c r="R108" s="34">
        <f t="shared" si="39"/>
        <v>91931092</v>
      </c>
      <c r="S108" s="34">
        <f t="shared" si="39"/>
        <v>926984538</v>
      </c>
      <c r="T108" s="34">
        <f t="shared" si="39"/>
        <v>1670341222</v>
      </c>
      <c r="U108" s="35">
        <f t="shared" si="39"/>
        <v>3386666585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 ht="18" customHeight="1" thickTop="1" x14ac:dyDescent="0.3">
      <c r="A109" s="11">
        <v>2008</v>
      </c>
      <c r="B109" s="12" t="s">
        <v>2</v>
      </c>
      <c r="C109" s="25">
        <v>3372314067</v>
      </c>
      <c r="D109" s="26">
        <f t="shared" ref="D109:D120" si="40">+N109</f>
        <v>128415145</v>
      </c>
      <c r="E109" s="27">
        <f t="shared" ref="E109:E120" si="41">+U109</f>
        <v>298593780</v>
      </c>
      <c r="F109" s="28">
        <v>21352646</v>
      </c>
      <c r="G109" s="26">
        <v>774077</v>
      </c>
      <c r="H109" s="28">
        <v>1871601</v>
      </c>
      <c r="I109" s="29">
        <v>11419359</v>
      </c>
      <c r="J109" s="26">
        <v>5754043</v>
      </c>
      <c r="K109" s="28">
        <v>6592024</v>
      </c>
      <c r="L109" s="26">
        <f>54502907-953140</f>
        <v>53549767</v>
      </c>
      <c r="M109" s="26">
        <v>51099952</v>
      </c>
      <c r="N109" s="30">
        <f t="shared" ref="N109:N120" si="42">SUM(I109:M109)</f>
        <v>128415145</v>
      </c>
      <c r="O109" s="31">
        <v>468226943</v>
      </c>
      <c r="P109" s="32">
        <v>51767611</v>
      </c>
      <c r="Q109" s="26">
        <v>10937077</v>
      </c>
      <c r="R109" s="26">
        <v>6833784</v>
      </c>
      <c r="S109" s="26">
        <f>90468324+533775</f>
        <v>91002099</v>
      </c>
      <c r="T109" s="26">
        <v>138053209</v>
      </c>
      <c r="U109" s="27">
        <f t="shared" ref="U109:U120" si="43">SUM(P109:T109)</f>
        <v>298593780</v>
      </c>
    </row>
    <row r="110" spans="1:98" ht="18" customHeight="1" x14ac:dyDescent="0.3">
      <c r="A110" s="11">
        <v>2008</v>
      </c>
      <c r="B110" s="12" t="s">
        <v>3</v>
      </c>
      <c r="C110" s="25">
        <v>3213653140</v>
      </c>
      <c r="D110" s="26">
        <f t="shared" si="40"/>
        <v>121230720</v>
      </c>
      <c r="E110" s="27">
        <f t="shared" si="41"/>
        <v>283967150</v>
      </c>
      <c r="F110" s="28">
        <v>19987035</v>
      </c>
      <c r="G110" s="26">
        <v>724457</v>
      </c>
      <c r="H110" s="28">
        <v>1746271</v>
      </c>
      <c r="I110" s="29">
        <v>10284203</v>
      </c>
      <c r="J110" s="26">
        <v>5649733</v>
      </c>
      <c r="K110" s="28">
        <v>6723958</v>
      </c>
      <c r="L110" s="26">
        <f>50581755+144828</f>
        <v>50726583</v>
      </c>
      <c r="M110" s="26">
        <v>47846243</v>
      </c>
      <c r="N110" s="30">
        <f t="shared" si="42"/>
        <v>121230720</v>
      </c>
      <c r="O110" s="31">
        <v>422354860</v>
      </c>
      <c r="P110" s="32">
        <v>46717585</v>
      </c>
      <c r="Q110" s="26">
        <v>10262198</v>
      </c>
      <c r="R110" s="26">
        <v>6578621</v>
      </c>
      <c r="S110" s="26">
        <f>89583423-202125</f>
        <v>89381298</v>
      </c>
      <c r="T110" s="26">
        <v>131027448</v>
      </c>
      <c r="U110" s="27">
        <f t="shared" si="43"/>
        <v>283967150</v>
      </c>
    </row>
    <row r="111" spans="1:98" ht="18" customHeight="1" x14ac:dyDescent="0.3">
      <c r="A111" s="11">
        <v>2008</v>
      </c>
      <c r="B111" s="12" t="s">
        <v>4</v>
      </c>
      <c r="C111" s="25">
        <v>3502370315</v>
      </c>
      <c r="D111" s="26">
        <f t="shared" si="40"/>
        <v>129451153</v>
      </c>
      <c r="E111" s="27">
        <f t="shared" si="41"/>
        <v>308628743</v>
      </c>
      <c r="F111" s="28">
        <v>21455939</v>
      </c>
      <c r="G111" s="26">
        <v>772645</v>
      </c>
      <c r="H111" s="28">
        <v>1866410</v>
      </c>
      <c r="I111" s="29">
        <v>10686705</v>
      </c>
      <c r="J111" s="26">
        <v>6292098</v>
      </c>
      <c r="K111" s="28">
        <v>8442378</v>
      </c>
      <c r="L111" s="26">
        <f>52339298+627509</f>
        <v>52966807</v>
      </c>
      <c r="M111" s="26">
        <v>51063165</v>
      </c>
      <c r="N111" s="30">
        <f t="shared" si="42"/>
        <v>129451153</v>
      </c>
      <c r="O111" s="31">
        <v>437827699</v>
      </c>
      <c r="P111" s="32">
        <v>48432678</v>
      </c>
      <c r="Q111" s="26">
        <v>10688969</v>
      </c>
      <c r="R111" s="26">
        <v>8493150</v>
      </c>
      <c r="S111" s="26">
        <f>105139550+906389</f>
        <v>106045939</v>
      </c>
      <c r="T111" s="26">
        <v>134968007</v>
      </c>
      <c r="U111" s="27">
        <f t="shared" si="43"/>
        <v>308628743</v>
      </c>
    </row>
    <row r="112" spans="1:98" ht="18" customHeight="1" x14ac:dyDescent="0.3">
      <c r="A112" s="11">
        <v>2008</v>
      </c>
      <c r="B112" s="12" t="s">
        <v>5</v>
      </c>
      <c r="C112" s="25">
        <v>3383800665</v>
      </c>
      <c r="D112" s="26">
        <f t="shared" si="40"/>
        <v>123929105</v>
      </c>
      <c r="E112" s="27">
        <f t="shared" si="41"/>
        <v>297847448</v>
      </c>
      <c r="F112" s="28">
        <v>20818492</v>
      </c>
      <c r="G112" s="26">
        <v>748407</v>
      </c>
      <c r="H112" s="28">
        <v>1808906</v>
      </c>
      <c r="I112" s="29">
        <v>10387501</v>
      </c>
      <c r="J112" s="26">
        <v>6606610</v>
      </c>
      <c r="K112" s="28">
        <v>8942012</v>
      </c>
      <c r="L112" s="26">
        <f>50197817-1391798</f>
        <v>48806019</v>
      </c>
      <c r="M112" s="26">
        <v>49186963</v>
      </c>
      <c r="N112" s="30">
        <f t="shared" si="42"/>
        <v>123929105</v>
      </c>
      <c r="O112" s="31">
        <v>434362826</v>
      </c>
      <c r="P112" s="32">
        <v>48026819</v>
      </c>
      <c r="Q112" s="26">
        <v>11130520</v>
      </c>
      <c r="R112" s="26">
        <v>8817989</v>
      </c>
      <c r="S112" s="26">
        <f>101183045-1115887</f>
        <v>100067158</v>
      </c>
      <c r="T112" s="26">
        <v>129804962</v>
      </c>
      <c r="U112" s="27">
        <f t="shared" si="43"/>
        <v>297847448</v>
      </c>
    </row>
    <row r="113" spans="1:98" ht="18" customHeight="1" x14ac:dyDescent="0.3">
      <c r="A113" s="11">
        <v>2008</v>
      </c>
      <c r="B113" s="12" t="s">
        <v>6</v>
      </c>
      <c r="C113" s="25">
        <v>3449757357</v>
      </c>
      <c r="D113" s="26">
        <f t="shared" si="40"/>
        <v>125107378</v>
      </c>
      <c r="E113" s="27">
        <f t="shared" si="41"/>
        <v>302994526</v>
      </c>
      <c r="F113" s="28">
        <v>21469216</v>
      </c>
      <c r="G113" s="26">
        <v>771654</v>
      </c>
      <c r="H113" s="28">
        <v>1860988</v>
      </c>
      <c r="I113" s="29">
        <v>10469763</v>
      </c>
      <c r="J113" s="26">
        <v>6814346</v>
      </c>
      <c r="K113" s="28">
        <v>9065372</v>
      </c>
      <c r="L113" s="26">
        <f>47877592+626630</f>
        <v>48504222</v>
      </c>
      <c r="M113" s="26">
        <v>50253675</v>
      </c>
      <c r="N113" s="30">
        <f t="shared" si="42"/>
        <v>125107378</v>
      </c>
      <c r="O113" s="31">
        <v>437403756</v>
      </c>
      <c r="P113" s="32">
        <v>48625775</v>
      </c>
      <c r="Q113" s="26">
        <v>11360485</v>
      </c>
      <c r="R113" s="26">
        <v>8453162</v>
      </c>
      <c r="S113" s="26">
        <f>102447415+1296425</f>
        <v>103743840</v>
      </c>
      <c r="T113" s="26">
        <v>130811264</v>
      </c>
      <c r="U113" s="27">
        <f t="shared" si="43"/>
        <v>302994526</v>
      </c>
    </row>
    <row r="114" spans="1:98" ht="18" customHeight="1" x14ac:dyDescent="0.3">
      <c r="A114" s="11">
        <v>2008</v>
      </c>
      <c r="B114" s="12" t="s">
        <v>7</v>
      </c>
      <c r="C114" s="25">
        <v>3277094833</v>
      </c>
      <c r="D114" s="26">
        <f t="shared" si="40"/>
        <v>117570521</v>
      </c>
      <c r="E114" s="27">
        <f t="shared" si="41"/>
        <v>286802433</v>
      </c>
      <c r="F114" s="28">
        <v>20907475</v>
      </c>
      <c r="G114" s="26">
        <v>747311</v>
      </c>
      <c r="H114" s="28">
        <v>1806125</v>
      </c>
      <c r="I114" s="29">
        <v>10102099</v>
      </c>
      <c r="J114" s="26">
        <v>6504040</v>
      </c>
      <c r="K114" s="28">
        <v>10489999</v>
      </c>
      <c r="L114" s="26">
        <f>43189050-679367</f>
        <v>42509683</v>
      </c>
      <c r="M114" s="26">
        <v>47964700</v>
      </c>
      <c r="N114" s="30">
        <f t="shared" si="42"/>
        <v>117570521</v>
      </c>
      <c r="O114" s="31">
        <v>406763029</v>
      </c>
      <c r="P114" s="32">
        <v>45162734</v>
      </c>
      <c r="Q114" s="26">
        <v>10730033</v>
      </c>
      <c r="R114" s="26">
        <v>9310561</v>
      </c>
      <c r="S114" s="26">
        <f>94501387-1157389</f>
        <v>93343998</v>
      </c>
      <c r="T114" s="26">
        <v>128255107</v>
      </c>
      <c r="U114" s="27">
        <f t="shared" si="43"/>
        <v>286802433</v>
      </c>
    </row>
    <row r="115" spans="1:98" ht="18" customHeight="1" x14ac:dyDescent="0.3">
      <c r="A115" s="11">
        <v>2008</v>
      </c>
      <c r="B115" s="12" t="s">
        <v>8</v>
      </c>
      <c r="C115" s="25">
        <v>3281577002</v>
      </c>
      <c r="D115" s="26">
        <f t="shared" si="40"/>
        <v>116769705</v>
      </c>
      <c r="E115" s="27">
        <f t="shared" si="41"/>
        <v>286012314</v>
      </c>
      <c r="F115" s="28">
        <v>21600367</v>
      </c>
      <c r="G115" s="26">
        <v>772069</v>
      </c>
      <c r="H115" s="28">
        <v>1864431</v>
      </c>
      <c r="I115" s="29">
        <v>10877865</v>
      </c>
      <c r="J115" s="26">
        <v>7474138</v>
      </c>
      <c r="K115" s="28">
        <v>9999650</v>
      </c>
      <c r="L115" s="26">
        <f>40382387+497261</f>
        <v>40879648</v>
      </c>
      <c r="M115" s="26">
        <v>47538404</v>
      </c>
      <c r="N115" s="30">
        <f t="shared" si="42"/>
        <v>116769705</v>
      </c>
      <c r="O115" s="31">
        <v>426867195</v>
      </c>
      <c r="P115" s="32">
        <v>47263407</v>
      </c>
      <c r="Q115" s="26">
        <v>11862317</v>
      </c>
      <c r="R115" s="26">
        <v>8203197</v>
      </c>
      <c r="S115" s="26">
        <f>89977949+339922</f>
        <v>90317871</v>
      </c>
      <c r="T115" s="26">
        <v>128365522</v>
      </c>
      <c r="U115" s="27">
        <f t="shared" si="43"/>
        <v>286012314</v>
      </c>
    </row>
    <row r="116" spans="1:98" ht="18" customHeight="1" x14ac:dyDescent="0.3">
      <c r="A116" s="11">
        <v>2008</v>
      </c>
      <c r="B116" s="12" t="s">
        <v>9</v>
      </c>
      <c r="C116" s="25">
        <v>3271295420</v>
      </c>
      <c r="D116" s="26">
        <f t="shared" si="40"/>
        <v>117163721</v>
      </c>
      <c r="E116" s="27">
        <f t="shared" si="41"/>
        <v>285515112</v>
      </c>
      <c r="F116" s="28">
        <v>21472602</v>
      </c>
      <c r="G116" s="26">
        <v>768250</v>
      </c>
      <c r="H116" s="28">
        <v>1853718</v>
      </c>
      <c r="I116" s="29">
        <v>10418370</v>
      </c>
      <c r="J116" s="26">
        <v>8298295</v>
      </c>
      <c r="K116" s="28">
        <v>9484001</v>
      </c>
      <c r="L116" s="26">
        <f>41847563-10379</f>
        <v>41837184</v>
      </c>
      <c r="M116" s="26">
        <v>47125871</v>
      </c>
      <c r="N116" s="30">
        <f t="shared" si="42"/>
        <v>117163721</v>
      </c>
      <c r="O116" s="31">
        <v>425723414</v>
      </c>
      <c r="P116" s="32">
        <v>47482354</v>
      </c>
      <c r="Q116" s="26">
        <v>11612222</v>
      </c>
      <c r="R116" s="26">
        <v>7220306</v>
      </c>
      <c r="S116" s="26">
        <f>92274869-571694</f>
        <v>91703175</v>
      </c>
      <c r="T116" s="26">
        <v>127497055</v>
      </c>
      <c r="U116" s="27">
        <f t="shared" si="43"/>
        <v>285515112</v>
      </c>
    </row>
    <row r="117" spans="1:98" s="8" customFormat="1" ht="18" customHeight="1" x14ac:dyDescent="0.3">
      <c r="A117" s="14">
        <v>2008</v>
      </c>
      <c r="B117" s="15" t="s">
        <v>10</v>
      </c>
      <c r="C117" s="57">
        <v>3152525865</v>
      </c>
      <c r="D117" s="58">
        <f t="shared" si="40"/>
        <v>113417379</v>
      </c>
      <c r="E117" s="59">
        <f t="shared" si="41"/>
        <v>276676749</v>
      </c>
      <c r="F117" s="60">
        <v>20747528</v>
      </c>
      <c r="G117" s="58">
        <v>742765</v>
      </c>
      <c r="H117" s="60">
        <v>1804861</v>
      </c>
      <c r="I117" s="61">
        <v>10320239</v>
      </c>
      <c r="J117" s="58">
        <v>8500644</v>
      </c>
      <c r="K117" s="60">
        <v>8412157</v>
      </c>
      <c r="L117" s="58">
        <v>40498616</v>
      </c>
      <c r="M117" s="58">
        <v>45685723</v>
      </c>
      <c r="N117" s="62">
        <f t="shared" si="42"/>
        <v>113417379</v>
      </c>
      <c r="O117" s="63">
        <f>426855195+11801393</f>
        <v>438656588</v>
      </c>
      <c r="P117" s="64">
        <v>48430929</v>
      </c>
      <c r="Q117" s="58">
        <v>11550166</v>
      </c>
      <c r="R117" s="58">
        <v>7109358</v>
      </c>
      <c r="S117" s="58">
        <v>84326974</v>
      </c>
      <c r="T117" s="58">
        <v>125259322</v>
      </c>
      <c r="U117" s="59">
        <f t="shared" si="43"/>
        <v>276676749</v>
      </c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</row>
    <row r="118" spans="1:98" ht="18" customHeight="1" x14ac:dyDescent="0.3">
      <c r="A118" s="11">
        <v>2008</v>
      </c>
      <c r="B118" s="12" t="s">
        <v>11</v>
      </c>
      <c r="C118" s="25">
        <v>3260392395</v>
      </c>
      <c r="D118" s="26">
        <f t="shared" si="40"/>
        <v>119678955</v>
      </c>
      <c r="E118" s="27">
        <f t="shared" si="41"/>
        <v>288445563</v>
      </c>
      <c r="F118" s="28">
        <v>20458208</v>
      </c>
      <c r="G118" s="26">
        <v>766727</v>
      </c>
      <c r="H118" s="28">
        <v>1849488</v>
      </c>
      <c r="I118" s="29">
        <v>10748161</v>
      </c>
      <c r="J118" s="26">
        <v>9356489</v>
      </c>
      <c r="K118" s="28">
        <v>7907084</v>
      </c>
      <c r="L118" s="26">
        <v>43390840</v>
      </c>
      <c r="M118" s="26">
        <v>48276381</v>
      </c>
      <c r="N118" s="30">
        <f t="shared" si="42"/>
        <v>119678955</v>
      </c>
      <c r="O118" s="31">
        <f>453320009+11713482</f>
        <v>465033491</v>
      </c>
      <c r="P118" s="32">
        <v>51124110</v>
      </c>
      <c r="Q118" s="26">
        <v>12555454</v>
      </c>
      <c r="R118" s="26">
        <v>6295823</v>
      </c>
      <c r="S118" s="26">
        <v>89233530</v>
      </c>
      <c r="T118" s="26">
        <v>129236646</v>
      </c>
      <c r="U118" s="27">
        <f t="shared" si="43"/>
        <v>288445563</v>
      </c>
    </row>
    <row r="119" spans="1:98" ht="18" customHeight="1" x14ac:dyDescent="0.3">
      <c r="A119" s="11">
        <v>2008</v>
      </c>
      <c r="B119" s="12" t="s">
        <v>12</v>
      </c>
      <c r="C119" s="25">
        <v>3162329342</v>
      </c>
      <c r="D119" s="26">
        <f t="shared" si="40"/>
        <v>116801947</v>
      </c>
      <c r="E119" s="27">
        <f t="shared" si="41"/>
        <v>280600280</v>
      </c>
      <c r="F119" s="28">
        <v>20467219</v>
      </c>
      <c r="G119" s="26">
        <v>743222</v>
      </c>
      <c r="H119" s="28">
        <v>1797110</v>
      </c>
      <c r="I119" s="29">
        <v>9981659</v>
      </c>
      <c r="J119" s="26">
        <v>8150442</v>
      </c>
      <c r="K119" s="28">
        <v>6439593</v>
      </c>
      <c r="L119" s="26">
        <v>46111942</v>
      </c>
      <c r="M119" s="26">
        <v>46118311</v>
      </c>
      <c r="N119" s="30">
        <f t="shared" si="42"/>
        <v>116801947</v>
      </c>
      <c r="O119" s="31">
        <v>415436207</v>
      </c>
      <c r="P119" s="32">
        <v>46392189</v>
      </c>
      <c r="Q119" s="26">
        <v>10666741</v>
      </c>
      <c r="R119" s="26">
        <v>5479822</v>
      </c>
      <c r="S119" s="26">
        <v>94935347</v>
      </c>
      <c r="T119" s="26">
        <v>123126181</v>
      </c>
      <c r="U119" s="27">
        <f t="shared" si="43"/>
        <v>280600280</v>
      </c>
    </row>
    <row r="120" spans="1:98" s="6" customFormat="1" ht="18" customHeight="1" thickBot="1" x14ac:dyDescent="0.35">
      <c r="A120" s="13">
        <v>2008</v>
      </c>
      <c r="B120" s="7" t="s">
        <v>13</v>
      </c>
      <c r="C120" s="41">
        <v>3287543920</v>
      </c>
      <c r="D120" s="42">
        <f t="shared" si="40"/>
        <v>123841071</v>
      </c>
      <c r="E120" s="43">
        <f t="shared" si="41"/>
        <v>292737930</v>
      </c>
      <c r="F120" s="44">
        <v>21126976</v>
      </c>
      <c r="G120" s="42">
        <v>773476</v>
      </c>
      <c r="H120" s="44">
        <v>1870955</v>
      </c>
      <c r="I120" s="45">
        <v>10993367</v>
      </c>
      <c r="J120" s="42">
        <v>7657379</v>
      </c>
      <c r="K120" s="44">
        <v>4566094</v>
      </c>
      <c r="L120" s="42">
        <v>52232941</v>
      </c>
      <c r="M120" s="42">
        <v>48391290</v>
      </c>
      <c r="N120" s="46">
        <f t="shared" si="42"/>
        <v>123841071</v>
      </c>
      <c r="O120" s="47">
        <v>442414968</v>
      </c>
      <c r="P120" s="48">
        <v>49282430</v>
      </c>
      <c r="Q120" s="42">
        <v>11545877</v>
      </c>
      <c r="R120" s="42">
        <v>3838814</v>
      </c>
      <c r="S120" s="42">
        <v>101004969</v>
      </c>
      <c r="T120" s="42">
        <v>127065840</v>
      </c>
      <c r="U120" s="43">
        <f t="shared" si="43"/>
        <v>292737930</v>
      </c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</row>
    <row r="121" spans="1:98" s="22" customFormat="1" ht="18" customHeight="1" thickTop="1" thickBot="1" x14ac:dyDescent="0.35">
      <c r="A121" s="18">
        <v>2008</v>
      </c>
      <c r="B121" s="19" t="s">
        <v>14</v>
      </c>
      <c r="C121" s="49">
        <v>39614654321</v>
      </c>
      <c r="D121" s="50">
        <v>1453503642</v>
      </c>
      <c r="E121" s="51">
        <v>3488824995</v>
      </c>
      <c r="F121" s="52">
        <f t="shared" ref="F121:U121" si="44">SUM(F109:F120)</f>
        <v>251863703</v>
      </c>
      <c r="G121" s="50">
        <f t="shared" si="44"/>
        <v>9105060</v>
      </c>
      <c r="H121" s="52">
        <f t="shared" si="44"/>
        <v>22000864</v>
      </c>
      <c r="I121" s="53">
        <f t="shared" si="44"/>
        <v>126689291</v>
      </c>
      <c r="J121" s="50">
        <f t="shared" si="44"/>
        <v>87058257</v>
      </c>
      <c r="K121" s="52">
        <f t="shared" si="44"/>
        <v>97064322</v>
      </c>
      <c r="L121" s="50">
        <f t="shared" si="44"/>
        <v>562014252</v>
      </c>
      <c r="M121" s="50">
        <f t="shared" si="44"/>
        <v>580550678</v>
      </c>
      <c r="N121" s="54">
        <f t="shared" si="44"/>
        <v>1453376800</v>
      </c>
      <c r="O121" s="55">
        <f t="shared" si="44"/>
        <v>5221070976</v>
      </c>
      <c r="P121" s="56">
        <f t="shared" si="44"/>
        <v>578708621</v>
      </c>
      <c r="Q121" s="50">
        <f t="shared" si="44"/>
        <v>134902059</v>
      </c>
      <c r="R121" s="50">
        <f t="shared" si="44"/>
        <v>86634587</v>
      </c>
      <c r="S121" s="50">
        <f t="shared" si="44"/>
        <v>1135106198</v>
      </c>
      <c r="T121" s="50">
        <f t="shared" si="44"/>
        <v>1553470563</v>
      </c>
      <c r="U121" s="51">
        <f t="shared" si="44"/>
        <v>3488822028</v>
      </c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1:98" ht="18" customHeight="1" thickTop="1" x14ac:dyDescent="0.3">
      <c r="A122" s="11">
        <v>2009</v>
      </c>
      <c r="B122" s="12" t="s">
        <v>2</v>
      </c>
      <c r="C122" s="25">
        <v>3185788199</v>
      </c>
      <c r="D122" s="26">
        <f t="shared" ref="D122:D133" si="45">+N122</f>
        <v>119619174</v>
      </c>
      <c r="E122" s="27">
        <f t="shared" ref="E122:E133" si="46">+U122</f>
        <v>282168688</v>
      </c>
      <c r="F122" s="28">
        <v>21231799</v>
      </c>
      <c r="G122" s="26">
        <v>771977</v>
      </c>
      <c r="H122" s="28">
        <v>1864446</v>
      </c>
      <c r="I122" s="29">
        <v>10246520</v>
      </c>
      <c r="J122" s="26">
        <v>6986593</v>
      </c>
      <c r="K122" s="28">
        <v>6780026</v>
      </c>
      <c r="L122" s="26">
        <v>53176389</v>
      </c>
      <c r="M122" s="26">
        <v>42429646</v>
      </c>
      <c r="N122" s="30">
        <f t="shared" ref="N122:N133" si="47">SUM(I122:M122)</f>
        <v>119619174</v>
      </c>
      <c r="O122" s="31">
        <v>432900545</v>
      </c>
      <c r="P122" s="32">
        <v>48139543</v>
      </c>
      <c r="Q122" s="26">
        <v>10651038</v>
      </c>
      <c r="R122" s="26">
        <v>6177389</v>
      </c>
      <c r="S122" s="26">
        <v>104239600</v>
      </c>
      <c r="T122" s="26">
        <v>112961118</v>
      </c>
      <c r="U122" s="27">
        <f t="shared" ref="U122:U133" si="48">SUM(P122:T122)</f>
        <v>282168688</v>
      </c>
    </row>
    <row r="123" spans="1:98" ht="18" customHeight="1" x14ac:dyDescent="0.3">
      <c r="A123" s="11">
        <v>2009</v>
      </c>
      <c r="B123" s="12" t="s">
        <v>3</v>
      </c>
      <c r="C123" s="25">
        <v>2896116750</v>
      </c>
      <c r="D123" s="26">
        <f t="shared" si="45"/>
        <v>107127261</v>
      </c>
      <c r="E123" s="27">
        <f t="shared" si="46"/>
        <v>255578886</v>
      </c>
      <c r="F123" s="28">
        <v>19153951</v>
      </c>
      <c r="G123" s="26">
        <v>697698</v>
      </c>
      <c r="H123" s="28">
        <v>1684906</v>
      </c>
      <c r="I123" s="29">
        <v>9334174</v>
      </c>
      <c r="J123" s="26">
        <v>6486028</v>
      </c>
      <c r="K123" s="28">
        <v>7022933</v>
      </c>
      <c r="L123" s="26">
        <v>45444099</v>
      </c>
      <c r="M123" s="26">
        <v>38840027</v>
      </c>
      <c r="N123" s="30">
        <f t="shared" si="47"/>
        <v>107127261</v>
      </c>
      <c r="O123" s="31">
        <v>403173867</v>
      </c>
      <c r="P123" s="32">
        <v>44785902</v>
      </c>
      <c r="Q123" s="26">
        <v>10687994</v>
      </c>
      <c r="R123" s="26">
        <v>6455814</v>
      </c>
      <c r="S123" s="26">
        <v>88014432</v>
      </c>
      <c r="T123" s="26">
        <v>105634744</v>
      </c>
      <c r="U123" s="27">
        <f t="shared" si="48"/>
        <v>255578886</v>
      </c>
    </row>
    <row r="124" spans="1:98" ht="18" customHeight="1" x14ac:dyDescent="0.3">
      <c r="A124" s="11">
        <v>2009</v>
      </c>
      <c r="B124" s="12" t="s">
        <v>4</v>
      </c>
      <c r="C124" s="25">
        <v>3232973051</v>
      </c>
      <c r="D124" s="26">
        <f t="shared" si="45"/>
        <v>117869646</v>
      </c>
      <c r="E124" s="27">
        <f t="shared" si="46"/>
        <v>284821919</v>
      </c>
      <c r="F124" s="28">
        <v>21253352</v>
      </c>
      <c r="G124" s="26">
        <v>772342</v>
      </c>
      <c r="H124" s="28">
        <v>1864627</v>
      </c>
      <c r="I124" s="29">
        <v>10377143</v>
      </c>
      <c r="J124" s="26">
        <v>7669149</v>
      </c>
      <c r="K124" s="28">
        <v>7653568</v>
      </c>
      <c r="L124" s="26">
        <v>48716586</v>
      </c>
      <c r="M124" s="26">
        <v>43453200</v>
      </c>
      <c r="N124" s="30">
        <f t="shared" si="47"/>
        <v>117869646</v>
      </c>
      <c r="O124" s="31">
        <v>439689049</v>
      </c>
      <c r="P124" s="32">
        <v>48816390</v>
      </c>
      <c r="Q124" s="26">
        <v>12127703</v>
      </c>
      <c r="R124" s="26">
        <v>8702586</v>
      </c>
      <c r="S124" s="26">
        <v>97268803</v>
      </c>
      <c r="T124" s="26">
        <v>117906437</v>
      </c>
      <c r="U124" s="27">
        <f t="shared" si="48"/>
        <v>284821919</v>
      </c>
    </row>
    <row r="125" spans="1:98" ht="18" customHeight="1" x14ac:dyDescent="0.3">
      <c r="A125" s="11">
        <v>2009</v>
      </c>
      <c r="B125" s="12" t="s">
        <v>5</v>
      </c>
      <c r="C125" s="25">
        <v>3165271579</v>
      </c>
      <c r="D125" s="26">
        <f t="shared" si="45"/>
        <v>114008605</v>
      </c>
      <c r="E125" s="27">
        <f t="shared" si="46"/>
        <v>278853548</v>
      </c>
      <c r="F125" s="28">
        <v>20675820</v>
      </c>
      <c r="G125" s="26">
        <v>747791</v>
      </c>
      <c r="H125" s="28">
        <v>1805552</v>
      </c>
      <c r="I125" s="29">
        <v>10192066</v>
      </c>
      <c r="J125" s="26">
        <v>8066627</v>
      </c>
      <c r="K125" s="28">
        <v>8312374</v>
      </c>
      <c r="L125" s="26">
        <v>45290047</v>
      </c>
      <c r="M125" s="26">
        <v>42147491</v>
      </c>
      <c r="N125" s="30">
        <f t="shared" si="47"/>
        <v>114008605</v>
      </c>
      <c r="O125" s="31">
        <v>425544989</v>
      </c>
      <c r="P125" s="32">
        <v>47087691</v>
      </c>
      <c r="Q125" s="26">
        <v>11401037</v>
      </c>
      <c r="R125" s="26">
        <v>9714329</v>
      </c>
      <c r="S125" s="26">
        <v>95489074</v>
      </c>
      <c r="T125" s="26">
        <v>115161417</v>
      </c>
      <c r="U125" s="27">
        <f t="shared" si="48"/>
        <v>278853548</v>
      </c>
    </row>
    <row r="126" spans="1:98" ht="18" customHeight="1" x14ac:dyDescent="0.3">
      <c r="A126" s="11">
        <v>2009</v>
      </c>
      <c r="B126" s="12" t="s">
        <v>6</v>
      </c>
      <c r="C126" s="25">
        <v>3240437458</v>
      </c>
      <c r="D126" s="26">
        <f t="shared" si="45"/>
        <v>114555356</v>
      </c>
      <c r="E126" s="27">
        <f t="shared" si="46"/>
        <v>284354331</v>
      </c>
      <c r="F126" s="28">
        <v>21347203</v>
      </c>
      <c r="G126" s="26">
        <v>770464</v>
      </c>
      <c r="H126" s="28">
        <v>1858787</v>
      </c>
      <c r="I126" s="29">
        <v>10000632</v>
      </c>
      <c r="J126" s="26">
        <v>7910586</v>
      </c>
      <c r="K126" s="28">
        <v>9480951</v>
      </c>
      <c r="L126" s="26">
        <v>44889356</v>
      </c>
      <c r="M126" s="26">
        <v>42273831</v>
      </c>
      <c r="N126" s="30">
        <f t="shared" si="47"/>
        <v>114555356</v>
      </c>
      <c r="O126" s="31">
        <v>424484883</v>
      </c>
      <c r="P126" s="32">
        <v>47014319</v>
      </c>
      <c r="Q126" s="26">
        <v>11771769</v>
      </c>
      <c r="R126" s="26">
        <v>9073998</v>
      </c>
      <c r="S126" s="26">
        <v>101678342</v>
      </c>
      <c r="T126" s="26">
        <v>114815903</v>
      </c>
      <c r="U126" s="27">
        <f t="shared" si="48"/>
        <v>284354331</v>
      </c>
    </row>
    <row r="127" spans="1:98" ht="18" customHeight="1" x14ac:dyDescent="0.3">
      <c r="A127" s="11">
        <v>2009</v>
      </c>
      <c r="B127" s="12" t="s">
        <v>7</v>
      </c>
      <c r="C127" s="25">
        <v>3023658215</v>
      </c>
      <c r="D127" s="26">
        <f t="shared" si="45"/>
        <v>106490264</v>
      </c>
      <c r="E127" s="27">
        <f t="shared" si="46"/>
        <v>264772717</v>
      </c>
      <c r="F127" s="28">
        <v>20682443</v>
      </c>
      <c r="G127" s="26">
        <v>746209</v>
      </c>
      <c r="H127" s="28">
        <v>1800494</v>
      </c>
      <c r="I127" s="29">
        <v>10004882</v>
      </c>
      <c r="J127" s="26">
        <v>8460576</v>
      </c>
      <c r="K127" s="28">
        <v>9107276</v>
      </c>
      <c r="L127" s="26">
        <v>39372512</v>
      </c>
      <c r="M127" s="26">
        <v>39545018</v>
      </c>
      <c r="N127" s="30">
        <f t="shared" si="47"/>
        <v>106490264</v>
      </c>
      <c r="O127" s="31">
        <v>408548807</v>
      </c>
      <c r="P127" s="32">
        <v>45205965</v>
      </c>
      <c r="Q127" s="26">
        <v>11561506</v>
      </c>
      <c r="R127" s="26">
        <v>8819816</v>
      </c>
      <c r="S127" s="26">
        <v>90096258</v>
      </c>
      <c r="T127" s="26">
        <v>109089172</v>
      </c>
      <c r="U127" s="27">
        <f t="shared" si="48"/>
        <v>264772717</v>
      </c>
    </row>
    <row r="128" spans="1:98" ht="18" customHeight="1" x14ac:dyDescent="0.3">
      <c r="A128" s="11">
        <v>2009</v>
      </c>
      <c r="B128" s="12" t="s">
        <v>8</v>
      </c>
      <c r="C128" s="25">
        <v>2985848167</v>
      </c>
      <c r="D128" s="26">
        <f t="shared" si="45"/>
        <v>104783600</v>
      </c>
      <c r="E128" s="27">
        <f t="shared" si="46"/>
        <v>260065153</v>
      </c>
      <c r="F128" s="28">
        <v>21456382</v>
      </c>
      <c r="G128" s="26">
        <v>770596</v>
      </c>
      <c r="H128" s="28">
        <v>1859987</v>
      </c>
      <c r="I128" s="29">
        <v>10245155</v>
      </c>
      <c r="J128" s="26">
        <v>7918735</v>
      </c>
      <c r="K128" s="28">
        <v>8831137</v>
      </c>
      <c r="L128" s="26">
        <v>39336095</v>
      </c>
      <c r="M128" s="26">
        <v>38452478</v>
      </c>
      <c r="N128" s="30">
        <f t="shared" si="47"/>
        <v>104783600</v>
      </c>
      <c r="O128" s="31">
        <v>417462853</v>
      </c>
      <c r="P128" s="32">
        <v>46371013</v>
      </c>
      <c r="Q128" s="26">
        <v>10896917</v>
      </c>
      <c r="R128" s="26">
        <v>8038598</v>
      </c>
      <c r="S128" s="26">
        <v>84026234</v>
      </c>
      <c r="T128" s="26">
        <v>110732391</v>
      </c>
      <c r="U128" s="27">
        <f t="shared" si="48"/>
        <v>260065153</v>
      </c>
    </row>
    <row r="129" spans="1:98" ht="18" customHeight="1" x14ac:dyDescent="0.3">
      <c r="A129" s="11">
        <v>2009</v>
      </c>
      <c r="B129" s="12" t="s">
        <v>9</v>
      </c>
      <c r="C129" s="25">
        <v>2983939675</v>
      </c>
      <c r="D129" s="26">
        <f t="shared" si="45"/>
        <v>105281983</v>
      </c>
      <c r="E129" s="27">
        <f t="shared" si="46"/>
        <v>260944319</v>
      </c>
      <c r="F129" s="28">
        <v>21424508</v>
      </c>
      <c r="G129" s="26">
        <v>771852</v>
      </c>
      <c r="H129" s="28">
        <v>1862711</v>
      </c>
      <c r="I129" s="29">
        <v>10207288</v>
      </c>
      <c r="J129" s="26">
        <v>8444459</v>
      </c>
      <c r="K129" s="28">
        <v>8916657</v>
      </c>
      <c r="L129" s="26">
        <v>38816971</v>
      </c>
      <c r="M129" s="26">
        <v>38896608</v>
      </c>
      <c r="N129" s="30">
        <f t="shared" si="47"/>
        <v>105281983</v>
      </c>
      <c r="O129" s="31">
        <v>430684112</v>
      </c>
      <c r="P129" s="32">
        <v>47623680</v>
      </c>
      <c r="Q129" s="26">
        <v>12226338</v>
      </c>
      <c r="R129" s="26">
        <v>8186321</v>
      </c>
      <c r="S129" s="26">
        <v>81678947</v>
      </c>
      <c r="T129" s="26">
        <v>111229033</v>
      </c>
      <c r="U129" s="27">
        <f t="shared" si="48"/>
        <v>260944319</v>
      </c>
    </row>
    <row r="130" spans="1:98" ht="18" customHeight="1" x14ac:dyDescent="0.3">
      <c r="A130" s="11">
        <v>2009</v>
      </c>
      <c r="B130" s="12" t="s">
        <v>10</v>
      </c>
      <c r="C130" s="25">
        <v>2820771945</v>
      </c>
      <c r="D130" s="26">
        <f t="shared" si="45"/>
        <v>101153516</v>
      </c>
      <c r="E130" s="27">
        <f t="shared" si="46"/>
        <v>247688116</v>
      </c>
      <c r="F130" s="28">
        <v>20667752</v>
      </c>
      <c r="G130" s="26">
        <v>748111</v>
      </c>
      <c r="H130" s="28">
        <v>1806083</v>
      </c>
      <c r="I130" s="29">
        <v>10091508</v>
      </c>
      <c r="J130" s="26">
        <v>8011466</v>
      </c>
      <c r="K130" s="28">
        <v>7738644</v>
      </c>
      <c r="L130" s="26">
        <v>37637731</v>
      </c>
      <c r="M130" s="26">
        <v>37674167</v>
      </c>
      <c r="N130" s="30">
        <f t="shared" si="47"/>
        <v>101153516</v>
      </c>
      <c r="O130" s="31">
        <v>435555684</v>
      </c>
      <c r="P130" s="32">
        <v>48132799</v>
      </c>
      <c r="Q130" s="26">
        <v>11664004</v>
      </c>
      <c r="R130" s="26">
        <v>7318893</v>
      </c>
      <c r="S130" s="26">
        <v>70894775</v>
      </c>
      <c r="T130" s="26">
        <v>109677645</v>
      </c>
      <c r="U130" s="27">
        <f t="shared" si="48"/>
        <v>247688116</v>
      </c>
    </row>
    <row r="131" spans="1:98" ht="18" customHeight="1" x14ac:dyDescent="0.3">
      <c r="A131" s="11">
        <v>2009</v>
      </c>
      <c r="B131" s="12" t="s">
        <v>11</v>
      </c>
      <c r="C131" s="25">
        <v>2950019796</v>
      </c>
      <c r="D131" s="26">
        <f t="shared" si="45"/>
        <v>108317711</v>
      </c>
      <c r="E131" s="27">
        <f t="shared" si="46"/>
        <v>261463352</v>
      </c>
      <c r="F131" s="28">
        <v>21183278</v>
      </c>
      <c r="G131" s="26">
        <v>772128</v>
      </c>
      <c r="H131" s="28">
        <v>1864778</v>
      </c>
      <c r="I131" s="29">
        <v>10488352</v>
      </c>
      <c r="J131" s="26">
        <v>10389116</v>
      </c>
      <c r="K131" s="28">
        <v>6710480</v>
      </c>
      <c r="L131" s="26">
        <v>40938920</v>
      </c>
      <c r="M131" s="26">
        <v>39790843</v>
      </c>
      <c r="N131" s="30">
        <f t="shared" si="47"/>
        <v>108317711</v>
      </c>
      <c r="O131" s="31">
        <v>450958676</v>
      </c>
      <c r="P131" s="32">
        <v>49967476</v>
      </c>
      <c r="Q131" s="26">
        <v>11319141</v>
      </c>
      <c r="R131" s="26">
        <v>6207932</v>
      </c>
      <c r="S131" s="26">
        <v>81216163</v>
      </c>
      <c r="T131" s="26">
        <v>112752640</v>
      </c>
      <c r="U131" s="27">
        <f t="shared" si="48"/>
        <v>261463352</v>
      </c>
    </row>
    <row r="132" spans="1:98" ht="18" customHeight="1" x14ac:dyDescent="0.3">
      <c r="A132" s="11">
        <v>2009</v>
      </c>
      <c r="B132" s="12" t="s">
        <v>12</v>
      </c>
      <c r="C132" s="25">
        <v>2886548239</v>
      </c>
      <c r="D132" s="26">
        <f t="shared" si="45"/>
        <v>108050246</v>
      </c>
      <c r="E132" s="27">
        <f t="shared" si="46"/>
        <v>257435695</v>
      </c>
      <c r="F132" s="28">
        <v>20375605</v>
      </c>
      <c r="G132" s="26">
        <v>747319</v>
      </c>
      <c r="H132" s="28">
        <v>1804308</v>
      </c>
      <c r="I132" s="29">
        <v>10348154</v>
      </c>
      <c r="J132" s="26">
        <v>11578350</v>
      </c>
      <c r="K132" s="28">
        <v>5420454</v>
      </c>
      <c r="L132" s="26">
        <v>42297871</v>
      </c>
      <c r="M132" s="26">
        <v>38405417</v>
      </c>
      <c r="N132" s="30">
        <f t="shared" si="47"/>
        <v>108050246</v>
      </c>
      <c r="O132" s="31">
        <v>439413050</v>
      </c>
      <c r="P132" s="32">
        <v>49075155</v>
      </c>
      <c r="Q132" s="26">
        <v>11289149</v>
      </c>
      <c r="R132" s="26">
        <v>4970693</v>
      </c>
      <c r="S132" s="26">
        <v>83950753</v>
      </c>
      <c r="T132" s="26">
        <v>108149945</v>
      </c>
      <c r="U132" s="27">
        <f t="shared" si="48"/>
        <v>257435695</v>
      </c>
    </row>
    <row r="133" spans="1:98" s="6" customFormat="1" ht="18" customHeight="1" thickBot="1" x14ac:dyDescent="0.35">
      <c r="A133" s="11">
        <v>2009</v>
      </c>
      <c r="B133" s="12" t="s">
        <v>13</v>
      </c>
      <c r="C133" s="25">
        <v>3031220901</v>
      </c>
      <c r="D133" s="26">
        <f t="shared" si="45"/>
        <v>114938623</v>
      </c>
      <c r="E133" s="27">
        <f t="shared" si="46"/>
        <v>270110820</v>
      </c>
      <c r="F133" s="28">
        <v>21053546</v>
      </c>
      <c r="G133" s="26">
        <v>772047</v>
      </c>
      <c r="H133" s="28">
        <v>1864927</v>
      </c>
      <c r="I133" s="29">
        <v>10796821</v>
      </c>
      <c r="J133" s="26">
        <v>11301840</v>
      </c>
      <c r="K133" s="28">
        <v>4578812</v>
      </c>
      <c r="L133" s="26">
        <v>47590820</v>
      </c>
      <c r="M133" s="26">
        <v>40670330</v>
      </c>
      <c r="N133" s="30">
        <f t="shared" si="47"/>
        <v>114938623</v>
      </c>
      <c r="O133" s="31">
        <v>451685654</v>
      </c>
      <c r="P133" s="32">
        <v>50131477</v>
      </c>
      <c r="Q133" s="26">
        <v>11125191</v>
      </c>
      <c r="R133" s="26">
        <v>4261244</v>
      </c>
      <c r="S133" s="26">
        <v>93410341</v>
      </c>
      <c r="T133" s="26">
        <v>111182567</v>
      </c>
      <c r="U133" s="27">
        <f t="shared" si="48"/>
        <v>270110820</v>
      </c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</row>
    <row r="134" spans="1:98" s="22" customFormat="1" ht="18" customHeight="1" thickTop="1" thickBot="1" x14ac:dyDescent="0.35">
      <c r="A134" s="20">
        <v>2009</v>
      </c>
      <c r="B134" s="21" t="s">
        <v>14</v>
      </c>
      <c r="C134" s="33">
        <f t="shared" ref="C134:U134" si="49">SUM(C122:C133)</f>
        <v>36402593975</v>
      </c>
      <c r="D134" s="34">
        <f t="shared" si="49"/>
        <v>1322195985</v>
      </c>
      <c r="E134" s="35">
        <f t="shared" si="49"/>
        <v>3208257544</v>
      </c>
      <c r="F134" s="36">
        <f t="shared" si="49"/>
        <v>250505639</v>
      </c>
      <c r="G134" s="34">
        <f t="shared" si="49"/>
        <v>9088534</v>
      </c>
      <c r="H134" s="36">
        <f t="shared" si="49"/>
        <v>21941606</v>
      </c>
      <c r="I134" s="37">
        <f t="shared" si="49"/>
        <v>122332695</v>
      </c>
      <c r="J134" s="34">
        <f t="shared" si="49"/>
        <v>103223525</v>
      </c>
      <c r="K134" s="36">
        <f t="shared" si="49"/>
        <v>90553312</v>
      </c>
      <c r="L134" s="34">
        <f t="shared" si="49"/>
        <v>523507397</v>
      </c>
      <c r="M134" s="34">
        <f t="shared" si="49"/>
        <v>482579056</v>
      </c>
      <c r="N134" s="38">
        <f t="shared" si="49"/>
        <v>1322195985</v>
      </c>
      <c r="O134" s="39">
        <f t="shared" si="49"/>
        <v>5160102169</v>
      </c>
      <c r="P134" s="40">
        <f t="shared" si="49"/>
        <v>572351410</v>
      </c>
      <c r="Q134" s="34">
        <f t="shared" si="49"/>
        <v>136721787</v>
      </c>
      <c r="R134" s="34">
        <f t="shared" si="49"/>
        <v>87927613</v>
      </c>
      <c r="S134" s="34">
        <f t="shared" si="49"/>
        <v>1071963722</v>
      </c>
      <c r="T134" s="34">
        <f t="shared" si="49"/>
        <v>1339293012</v>
      </c>
      <c r="U134" s="35">
        <f t="shared" si="49"/>
        <v>3208257544</v>
      </c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</row>
    <row r="135" spans="1:98" ht="18" customHeight="1" thickTop="1" x14ac:dyDescent="0.3">
      <c r="A135" s="11">
        <v>2010</v>
      </c>
      <c r="B135" s="12" t="s">
        <v>2</v>
      </c>
      <c r="C135" s="25">
        <v>3088823230</v>
      </c>
      <c r="D135" s="26">
        <f t="shared" ref="D135:D146" si="50">+N135</f>
        <v>116021423</v>
      </c>
      <c r="E135" s="27">
        <f t="shared" ref="E135:E146" si="51">+U135</f>
        <v>273728133</v>
      </c>
      <c r="F135" s="28">
        <v>21418666</v>
      </c>
      <c r="G135" s="26">
        <v>779310</v>
      </c>
      <c r="H135" s="28">
        <v>1890838</v>
      </c>
      <c r="I135" s="29">
        <v>10332151</v>
      </c>
      <c r="J135" s="26">
        <v>7853981</v>
      </c>
      <c r="K135" s="28">
        <v>5839360</v>
      </c>
      <c r="L135" s="26">
        <v>51631778</v>
      </c>
      <c r="M135" s="26">
        <v>40364153</v>
      </c>
      <c r="N135" s="30">
        <f t="shared" ref="N135:N146" si="52">SUM(I135:M135)</f>
        <v>116021423</v>
      </c>
      <c r="O135" s="31">
        <v>442779638</v>
      </c>
      <c r="P135" s="32">
        <v>49330428</v>
      </c>
      <c r="Q135" s="26">
        <v>10958146</v>
      </c>
      <c r="R135" s="26">
        <v>5318041</v>
      </c>
      <c r="S135" s="26">
        <v>96614187</v>
      </c>
      <c r="T135" s="26">
        <v>111507331</v>
      </c>
      <c r="U135" s="27">
        <f t="shared" ref="U135:U146" si="53">SUM(P135:T135)</f>
        <v>273728133</v>
      </c>
    </row>
    <row r="136" spans="1:98" ht="18" customHeight="1" x14ac:dyDescent="0.3">
      <c r="A136" s="11">
        <v>2010</v>
      </c>
      <c r="B136" s="12" t="s">
        <v>3</v>
      </c>
      <c r="C136" s="25">
        <v>2827588207</v>
      </c>
      <c r="D136" s="26">
        <f t="shared" si="50"/>
        <v>104355553</v>
      </c>
      <c r="E136" s="27">
        <f t="shared" si="51"/>
        <v>249561710</v>
      </c>
      <c r="F136" s="28">
        <v>19125887</v>
      </c>
      <c r="G136" s="26">
        <v>696017</v>
      </c>
      <c r="H136" s="28">
        <v>1680187</v>
      </c>
      <c r="I136" s="29">
        <v>9522501</v>
      </c>
      <c r="J136" s="26">
        <v>6876036</v>
      </c>
      <c r="K136" s="28">
        <v>5916766</v>
      </c>
      <c r="L136" s="26">
        <v>46502041</v>
      </c>
      <c r="M136" s="26">
        <v>35538209</v>
      </c>
      <c r="N136" s="30">
        <f t="shared" si="52"/>
        <v>104355553</v>
      </c>
      <c r="O136" s="31">
        <v>405815756</v>
      </c>
      <c r="P136" s="32">
        <v>45003170</v>
      </c>
      <c r="Q136" s="26">
        <v>10010912</v>
      </c>
      <c r="R136" s="26">
        <v>5282942</v>
      </c>
      <c r="S136" s="26">
        <v>87633185</v>
      </c>
      <c r="T136" s="26">
        <v>101631501</v>
      </c>
      <c r="U136" s="27">
        <f t="shared" si="53"/>
        <v>249561710</v>
      </c>
    </row>
    <row r="137" spans="1:98" ht="18" customHeight="1" x14ac:dyDescent="0.3">
      <c r="A137" s="11">
        <v>2010</v>
      </c>
      <c r="B137" s="12" t="s">
        <v>4</v>
      </c>
      <c r="C137" s="25">
        <v>3187716702</v>
      </c>
      <c r="D137" s="26">
        <f t="shared" si="50"/>
        <v>116106592</v>
      </c>
      <c r="E137" s="27">
        <f t="shared" si="51"/>
        <v>281530716</v>
      </c>
      <c r="F137" s="28">
        <v>21376236</v>
      </c>
      <c r="G137" s="26">
        <v>773471</v>
      </c>
      <c r="H137" s="28">
        <v>1869693</v>
      </c>
      <c r="I137" s="29">
        <v>10479010</v>
      </c>
      <c r="J137" s="26">
        <v>9067850</v>
      </c>
      <c r="K137" s="28">
        <v>8621883</v>
      </c>
      <c r="L137" s="26">
        <v>46852288</v>
      </c>
      <c r="M137" s="26">
        <v>41085561</v>
      </c>
      <c r="N137" s="30">
        <f t="shared" si="52"/>
        <v>116106592</v>
      </c>
      <c r="O137" s="31">
        <v>448792732</v>
      </c>
      <c r="P137" s="32">
        <v>50057624</v>
      </c>
      <c r="Q137" s="26">
        <v>12286404</v>
      </c>
      <c r="R137" s="26">
        <v>7636786</v>
      </c>
      <c r="S137" s="26">
        <v>94311080</v>
      </c>
      <c r="T137" s="26">
        <v>117238822</v>
      </c>
      <c r="U137" s="27">
        <f t="shared" si="53"/>
        <v>281530716</v>
      </c>
    </row>
    <row r="138" spans="1:98" ht="18" customHeight="1" x14ac:dyDescent="0.3">
      <c r="A138" s="11">
        <v>2010</v>
      </c>
      <c r="B138" s="12" t="s">
        <v>5</v>
      </c>
      <c r="C138" s="25">
        <v>3147220623</v>
      </c>
      <c r="D138" s="26">
        <f t="shared" si="50"/>
        <v>113048268</v>
      </c>
      <c r="E138" s="27">
        <f t="shared" si="51"/>
        <v>278058127</v>
      </c>
      <c r="F138" s="28">
        <v>20676524</v>
      </c>
      <c r="G138" s="26">
        <v>746975</v>
      </c>
      <c r="H138" s="28">
        <v>1804325</v>
      </c>
      <c r="I138" s="29">
        <v>10178097</v>
      </c>
      <c r="J138" s="26">
        <v>9243823</v>
      </c>
      <c r="K138" s="28">
        <v>10295707</v>
      </c>
      <c r="L138" s="26">
        <v>43516373</v>
      </c>
      <c r="M138" s="26">
        <v>39814268</v>
      </c>
      <c r="N138" s="30">
        <f t="shared" si="52"/>
        <v>113048268</v>
      </c>
      <c r="O138" s="31">
        <v>436794689</v>
      </c>
      <c r="P138" s="32">
        <v>48567474</v>
      </c>
      <c r="Q138" s="26">
        <v>11150240</v>
      </c>
      <c r="R138" s="26">
        <v>7856801</v>
      </c>
      <c r="S138" s="26">
        <v>97543190</v>
      </c>
      <c r="T138" s="26">
        <v>112940422</v>
      </c>
      <c r="U138" s="27">
        <f t="shared" si="53"/>
        <v>278058127</v>
      </c>
    </row>
    <row r="139" spans="1:98" ht="18" customHeight="1" x14ac:dyDescent="0.3">
      <c r="A139" s="11">
        <v>2010</v>
      </c>
      <c r="B139" s="12" t="s">
        <v>6</v>
      </c>
      <c r="C139" s="25">
        <v>3246132950</v>
      </c>
      <c r="D139" s="26">
        <f t="shared" si="50"/>
        <v>115541804</v>
      </c>
      <c r="E139" s="27">
        <f t="shared" si="51"/>
        <v>287001420</v>
      </c>
      <c r="F139" s="28">
        <v>21333805</v>
      </c>
      <c r="G139" s="26">
        <v>771638</v>
      </c>
      <c r="H139" s="28">
        <v>1863340</v>
      </c>
      <c r="I139" s="29">
        <v>9795337</v>
      </c>
      <c r="J139" s="26">
        <v>10208503</v>
      </c>
      <c r="K139" s="28">
        <v>10170577</v>
      </c>
      <c r="L139" s="26">
        <v>44402161</v>
      </c>
      <c r="M139" s="26">
        <v>40965226</v>
      </c>
      <c r="N139" s="30">
        <f t="shared" si="52"/>
        <v>115541804</v>
      </c>
      <c r="O139" s="31">
        <v>431271572</v>
      </c>
      <c r="P139" s="32">
        <v>47758547</v>
      </c>
      <c r="Q139" s="26">
        <v>11903917</v>
      </c>
      <c r="R139" s="26">
        <v>7958711</v>
      </c>
      <c r="S139" s="26">
        <v>102468377</v>
      </c>
      <c r="T139" s="26">
        <v>116911868</v>
      </c>
      <c r="U139" s="27">
        <f t="shared" si="53"/>
        <v>287001420</v>
      </c>
    </row>
    <row r="140" spans="1:98" ht="18" customHeight="1" x14ac:dyDescent="0.3">
      <c r="A140" s="11">
        <v>2010</v>
      </c>
      <c r="B140" s="12" t="s">
        <v>7</v>
      </c>
      <c r="C140" s="25">
        <v>3111048789</v>
      </c>
      <c r="D140" s="26">
        <f t="shared" si="50"/>
        <v>109269621</v>
      </c>
      <c r="E140" s="27">
        <f t="shared" si="51"/>
        <v>274063899</v>
      </c>
      <c r="F140" s="28">
        <v>20634214</v>
      </c>
      <c r="G140" s="26">
        <v>746714</v>
      </c>
      <c r="H140" s="28">
        <v>1803606</v>
      </c>
      <c r="I140" s="29">
        <v>9507392</v>
      </c>
      <c r="J140" s="26">
        <v>9931561</v>
      </c>
      <c r="K140" s="28">
        <v>10066693</v>
      </c>
      <c r="L140" s="26">
        <v>39629191</v>
      </c>
      <c r="M140" s="26">
        <v>40134784</v>
      </c>
      <c r="N140" s="30">
        <f t="shared" si="52"/>
        <v>109269621</v>
      </c>
      <c r="O140" s="31">
        <v>400548373</v>
      </c>
      <c r="P140" s="32">
        <v>44453841</v>
      </c>
      <c r="Q140" s="26">
        <v>11785799</v>
      </c>
      <c r="R140" s="26">
        <v>8124302</v>
      </c>
      <c r="S140" s="26">
        <v>94259220</v>
      </c>
      <c r="T140" s="26">
        <v>115440737</v>
      </c>
      <c r="U140" s="27">
        <f t="shared" si="53"/>
        <v>274063899</v>
      </c>
    </row>
    <row r="141" spans="1:98" ht="18" customHeight="1" x14ac:dyDescent="0.3">
      <c r="A141" s="11">
        <v>2010</v>
      </c>
      <c r="B141" s="12" t="s">
        <v>8</v>
      </c>
      <c r="C141" s="25">
        <v>3116549437</v>
      </c>
      <c r="D141" s="26">
        <f t="shared" si="50"/>
        <v>108665627</v>
      </c>
      <c r="E141" s="27">
        <f t="shared" si="51"/>
        <v>273215494</v>
      </c>
      <c r="F141" s="28">
        <v>21304749</v>
      </c>
      <c r="G141" s="26">
        <v>770224</v>
      </c>
      <c r="H141" s="28">
        <v>1859709</v>
      </c>
      <c r="I141" s="29">
        <v>9705311</v>
      </c>
      <c r="J141" s="26">
        <v>9227992</v>
      </c>
      <c r="K141" s="28">
        <v>8876550</v>
      </c>
      <c r="L141" s="26">
        <v>38988318</v>
      </c>
      <c r="M141" s="26">
        <v>41867456</v>
      </c>
      <c r="N141" s="30">
        <f t="shared" si="52"/>
        <v>108665627</v>
      </c>
      <c r="O141" s="31">
        <v>401244326</v>
      </c>
      <c r="P141" s="32">
        <v>44539591</v>
      </c>
      <c r="Q141" s="26">
        <v>11616330</v>
      </c>
      <c r="R141" s="26">
        <v>7400713</v>
      </c>
      <c r="S141" s="26">
        <v>88600137</v>
      </c>
      <c r="T141" s="26">
        <v>121058723</v>
      </c>
      <c r="U141" s="27">
        <f t="shared" si="53"/>
        <v>273215494</v>
      </c>
    </row>
    <row r="142" spans="1:98" ht="18" customHeight="1" x14ac:dyDescent="0.3">
      <c r="A142" s="11">
        <v>2010</v>
      </c>
      <c r="B142" s="12" t="s">
        <v>9</v>
      </c>
      <c r="C142" s="25">
        <v>3119948369</v>
      </c>
      <c r="D142" s="26">
        <f t="shared" si="50"/>
        <v>110194298</v>
      </c>
      <c r="E142" s="27">
        <f t="shared" si="51"/>
        <v>274337679</v>
      </c>
      <c r="F142" s="28">
        <v>21303918</v>
      </c>
      <c r="G142" s="26">
        <v>772232</v>
      </c>
      <c r="H142" s="28">
        <v>1865063</v>
      </c>
      <c r="I142" s="29">
        <v>10315849</v>
      </c>
      <c r="J142" s="26">
        <v>9738172</v>
      </c>
      <c r="K142" s="28">
        <v>10751610</v>
      </c>
      <c r="L142" s="26">
        <v>35969426</v>
      </c>
      <c r="M142" s="26">
        <v>43419241</v>
      </c>
      <c r="N142" s="30">
        <f t="shared" si="52"/>
        <v>110194298</v>
      </c>
      <c r="O142" s="31">
        <v>429397776</v>
      </c>
      <c r="P142" s="32">
        <v>47561180</v>
      </c>
      <c r="Q142" s="26">
        <v>11804553</v>
      </c>
      <c r="R142" s="26">
        <v>7936652</v>
      </c>
      <c r="S142" s="26">
        <v>83939648</v>
      </c>
      <c r="T142" s="26">
        <v>123095646</v>
      </c>
      <c r="U142" s="27">
        <f t="shared" si="53"/>
        <v>274337679</v>
      </c>
    </row>
    <row r="143" spans="1:98" ht="18" customHeight="1" x14ac:dyDescent="0.3">
      <c r="A143" s="11">
        <v>2010</v>
      </c>
      <c r="B143" s="12" t="s">
        <v>10</v>
      </c>
      <c r="C143" s="25">
        <v>3018207823</v>
      </c>
      <c r="D143" s="26">
        <f t="shared" si="50"/>
        <v>108865893</v>
      </c>
      <c r="E143" s="27">
        <f t="shared" si="51"/>
        <v>266720180</v>
      </c>
      <c r="F143" s="28">
        <v>20494929</v>
      </c>
      <c r="G143" s="26">
        <v>748054</v>
      </c>
      <c r="H143" s="28">
        <v>1807674</v>
      </c>
      <c r="I143" s="29">
        <v>10265505</v>
      </c>
      <c r="J143" s="26">
        <v>10563458</v>
      </c>
      <c r="K143" s="28">
        <v>9176194</v>
      </c>
      <c r="L143" s="26">
        <v>35847865</v>
      </c>
      <c r="M143" s="26">
        <v>43012871</v>
      </c>
      <c r="N143" s="30">
        <f t="shared" si="52"/>
        <v>108865893</v>
      </c>
      <c r="O143" s="31">
        <v>434147903</v>
      </c>
      <c r="P143" s="32">
        <v>48164990</v>
      </c>
      <c r="Q143" s="26">
        <v>12020335</v>
      </c>
      <c r="R143" s="26">
        <v>6790621</v>
      </c>
      <c r="S143" s="26">
        <v>79772717</v>
      </c>
      <c r="T143" s="26">
        <v>119971517</v>
      </c>
      <c r="U143" s="27">
        <f t="shared" si="53"/>
        <v>266720180</v>
      </c>
    </row>
    <row r="144" spans="1:98" ht="18" customHeight="1" x14ac:dyDescent="0.3">
      <c r="A144" s="11">
        <v>2010</v>
      </c>
      <c r="B144" s="12" t="s">
        <v>11</v>
      </c>
      <c r="C144" s="25">
        <v>3059242820</v>
      </c>
      <c r="D144" s="26">
        <f t="shared" si="50"/>
        <v>111695059</v>
      </c>
      <c r="E144" s="27">
        <f t="shared" si="51"/>
        <v>270736166</v>
      </c>
      <c r="F144" s="28">
        <v>21147413</v>
      </c>
      <c r="G144" s="26">
        <v>772093</v>
      </c>
      <c r="H144" s="28">
        <v>1867473</v>
      </c>
      <c r="I144" s="29">
        <v>10313629</v>
      </c>
      <c r="J144" s="26">
        <v>10867598</v>
      </c>
      <c r="K144" s="28">
        <v>6800737</v>
      </c>
      <c r="L144" s="26">
        <v>41663706</v>
      </c>
      <c r="M144" s="26">
        <v>42049389</v>
      </c>
      <c r="N144" s="30">
        <f t="shared" si="52"/>
        <v>111695059</v>
      </c>
      <c r="O144" s="31">
        <v>442849429</v>
      </c>
      <c r="P144" s="32">
        <v>49237975</v>
      </c>
      <c r="Q144" s="26">
        <v>11183606</v>
      </c>
      <c r="R144" s="26">
        <v>5599264</v>
      </c>
      <c r="S144" s="26">
        <v>85227469</v>
      </c>
      <c r="T144" s="26">
        <v>119487852</v>
      </c>
      <c r="U144" s="27">
        <f t="shared" si="53"/>
        <v>270736166</v>
      </c>
    </row>
    <row r="145" spans="1:98" ht="18" customHeight="1" x14ac:dyDescent="0.3">
      <c r="A145" s="11">
        <v>2010</v>
      </c>
      <c r="B145" s="12" t="s">
        <v>12</v>
      </c>
      <c r="C145" s="25">
        <v>2995527263</v>
      </c>
      <c r="D145" s="26">
        <f t="shared" si="50"/>
        <v>112505373</v>
      </c>
      <c r="E145" s="27">
        <f t="shared" si="51"/>
        <v>267270990</v>
      </c>
      <c r="F145" s="28">
        <v>20285941</v>
      </c>
      <c r="G145" s="26">
        <v>746628</v>
      </c>
      <c r="H145" s="28">
        <v>1804285</v>
      </c>
      <c r="I145" s="29">
        <v>10437759</v>
      </c>
      <c r="J145" s="26">
        <v>10341474</v>
      </c>
      <c r="K145" s="28">
        <v>4945259</v>
      </c>
      <c r="L145" s="26">
        <v>43475298</v>
      </c>
      <c r="M145" s="26">
        <v>43305583</v>
      </c>
      <c r="N145" s="30">
        <f t="shared" si="52"/>
        <v>112505373</v>
      </c>
      <c r="O145" s="31">
        <v>430647754</v>
      </c>
      <c r="P145" s="32">
        <v>47969937</v>
      </c>
      <c r="Q145" s="26">
        <v>11594564</v>
      </c>
      <c r="R145" s="26">
        <v>4600265</v>
      </c>
      <c r="S145" s="26">
        <v>85208527</v>
      </c>
      <c r="T145" s="26">
        <v>117897697</v>
      </c>
      <c r="U145" s="27">
        <f t="shared" si="53"/>
        <v>267270990</v>
      </c>
    </row>
    <row r="146" spans="1:98" s="6" customFormat="1" ht="18" customHeight="1" thickBot="1" x14ac:dyDescent="0.35">
      <c r="A146" s="13">
        <v>2010</v>
      </c>
      <c r="B146" s="7" t="s">
        <v>13</v>
      </c>
      <c r="C146" s="41">
        <v>3088878890</v>
      </c>
      <c r="D146" s="42">
        <f t="shared" si="50"/>
        <v>117869807</v>
      </c>
      <c r="E146" s="43">
        <f t="shared" si="51"/>
        <v>275750985</v>
      </c>
      <c r="F146" s="44">
        <v>20926467</v>
      </c>
      <c r="G146" s="42">
        <v>771832</v>
      </c>
      <c r="H146" s="44">
        <v>1865634</v>
      </c>
      <c r="I146" s="45">
        <v>10742908</v>
      </c>
      <c r="J146" s="42">
        <v>8809690</v>
      </c>
      <c r="K146" s="44">
        <v>4400814</v>
      </c>
      <c r="L146" s="42">
        <v>50548041</v>
      </c>
      <c r="M146" s="42">
        <v>43368354</v>
      </c>
      <c r="N146" s="46">
        <f t="shared" si="52"/>
        <v>117869807</v>
      </c>
      <c r="O146" s="47">
        <v>439166721</v>
      </c>
      <c r="P146" s="48">
        <v>48894449</v>
      </c>
      <c r="Q146" s="42">
        <v>10970583</v>
      </c>
      <c r="R146" s="42">
        <v>3854648</v>
      </c>
      <c r="S146" s="42">
        <v>93425274</v>
      </c>
      <c r="T146" s="42">
        <v>118606031</v>
      </c>
      <c r="U146" s="43">
        <f t="shared" si="53"/>
        <v>275750985</v>
      </c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</row>
    <row r="147" spans="1:98" s="22" customFormat="1" ht="18" customHeight="1" thickTop="1" thickBot="1" x14ac:dyDescent="0.35">
      <c r="A147" s="18">
        <v>2010</v>
      </c>
      <c r="B147" s="19" t="s">
        <v>14</v>
      </c>
      <c r="C147" s="49">
        <f t="shared" ref="C147:U147" si="54">SUM(C135:C146)</f>
        <v>37006885103</v>
      </c>
      <c r="D147" s="50">
        <f t="shared" si="54"/>
        <v>1344139318</v>
      </c>
      <c r="E147" s="51">
        <f t="shared" si="54"/>
        <v>3271975499</v>
      </c>
      <c r="F147" s="52">
        <f t="shared" si="54"/>
        <v>250028749</v>
      </c>
      <c r="G147" s="50">
        <f t="shared" si="54"/>
        <v>9095188</v>
      </c>
      <c r="H147" s="52">
        <f t="shared" si="54"/>
        <v>21981827</v>
      </c>
      <c r="I147" s="53">
        <f t="shared" si="54"/>
        <v>121595449</v>
      </c>
      <c r="J147" s="50">
        <f t="shared" si="54"/>
        <v>112730138</v>
      </c>
      <c r="K147" s="52">
        <f t="shared" si="54"/>
        <v>95862150</v>
      </c>
      <c r="L147" s="50">
        <f t="shared" si="54"/>
        <v>519026486</v>
      </c>
      <c r="M147" s="50">
        <f t="shared" si="54"/>
        <v>494925095</v>
      </c>
      <c r="N147" s="54">
        <f t="shared" si="54"/>
        <v>1344139318</v>
      </c>
      <c r="O147" s="55">
        <f t="shared" si="54"/>
        <v>5143456669</v>
      </c>
      <c r="P147" s="56">
        <f t="shared" si="54"/>
        <v>571539206</v>
      </c>
      <c r="Q147" s="50">
        <f t="shared" si="54"/>
        <v>137285389</v>
      </c>
      <c r="R147" s="50">
        <f t="shared" si="54"/>
        <v>78359746</v>
      </c>
      <c r="S147" s="50">
        <f t="shared" si="54"/>
        <v>1089003011</v>
      </c>
      <c r="T147" s="50">
        <f t="shared" si="54"/>
        <v>1395788147</v>
      </c>
      <c r="U147" s="51">
        <f t="shared" si="54"/>
        <v>3271975499</v>
      </c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</row>
    <row r="148" spans="1:98" ht="18" customHeight="1" thickTop="1" x14ac:dyDescent="0.3">
      <c r="A148" s="11">
        <v>2011</v>
      </c>
      <c r="B148" s="12" t="s">
        <v>2</v>
      </c>
      <c r="C148" s="25">
        <v>3247116004</v>
      </c>
      <c r="D148" s="26">
        <f t="shared" ref="D148:D159" si="55">+N148</f>
        <v>124421437</v>
      </c>
      <c r="E148" s="27">
        <f t="shared" ref="E148:E159" si="56">+U148</f>
        <v>288901654</v>
      </c>
      <c r="F148" s="28">
        <v>21044448</v>
      </c>
      <c r="G148" s="26">
        <v>771712</v>
      </c>
      <c r="H148" s="28">
        <v>1866176</v>
      </c>
      <c r="I148" s="29">
        <v>10107067</v>
      </c>
      <c r="J148" s="26">
        <v>7266172</v>
      </c>
      <c r="K148" s="28">
        <v>6044266</v>
      </c>
      <c r="L148" s="26">
        <v>52334895</v>
      </c>
      <c r="M148" s="26">
        <v>48669037</v>
      </c>
      <c r="N148" s="30">
        <f t="shared" ref="N148:N159" si="57">SUM(I148:M148)</f>
        <v>124421437</v>
      </c>
      <c r="O148" s="31">
        <v>440090362</v>
      </c>
      <c r="P148" s="32">
        <v>48946876</v>
      </c>
      <c r="Q148" s="26">
        <v>10939875</v>
      </c>
      <c r="R148" s="26">
        <v>5732376</v>
      </c>
      <c r="S148" s="26">
        <v>92275056</v>
      </c>
      <c r="T148" s="26">
        <v>131007471</v>
      </c>
      <c r="U148" s="27">
        <f t="shared" ref="U148:U159" si="58">SUM(P148:T148)</f>
        <v>288901654</v>
      </c>
    </row>
    <row r="149" spans="1:98" ht="18" customHeight="1" x14ac:dyDescent="0.3">
      <c r="A149" s="11">
        <v>2011</v>
      </c>
      <c r="B149" s="12" t="s">
        <v>3</v>
      </c>
      <c r="C149" s="25">
        <v>3028854495</v>
      </c>
      <c r="D149" s="26">
        <f t="shared" si="55"/>
        <v>114632111</v>
      </c>
      <c r="E149" s="27">
        <f t="shared" si="56"/>
        <v>268736263</v>
      </c>
      <c r="F149" s="28">
        <v>19085508</v>
      </c>
      <c r="G149" s="26">
        <v>697037</v>
      </c>
      <c r="H149" s="28">
        <v>1685374</v>
      </c>
      <c r="I149" s="29">
        <v>9128694</v>
      </c>
      <c r="J149" s="26">
        <v>8361087</v>
      </c>
      <c r="K149" s="28">
        <v>7159632</v>
      </c>
      <c r="L149" s="26">
        <v>46820360</v>
      </c>
      <c r="M149" s="26">
        <v>43162338</v>
      </c>
      <c r="N149" s="30">
        <f t="shared" si="57"/>
        <v>114632111</v>
      </c>
      <c r="O149" s="31">
        <v>393652811</v>
      </c>
      <c r="P149" s="32">
        <v>43679563</v>
      </c>
      <c r="Q149" s="26">
        <v>10518259</v>
      </c>
      <c r="R149" s="26">
        <v>6431319</v>
      </c>
      <c r="S149" s="26">
        <v>87698466</v>
      </c>
      <c r="T149" s="26">
        <v>120408656</v>
      </c>
      <c r="U149" s="27">
        <f t="shared" si="58"/>
        <v>268736263</v>
      </c>
    </row>
    <row r="150" spans="1:98" ht="18" customHeight="1" x14ac:dyDescent="0.3">
      <c r="A150" s="11">
        <v>2011</v>
      </c>
      <c r="B150" s="12" t="s">
        <v>4</v>
      </c>
      <c r="C150" s="25">
        <v>3439776345</v>
      </c>
      <c r="D150" s="26">
        <f t="shared" si="55"/>
        <v>128351476</v>
      </c>
      <c r="E150" s="27">
        <f t="shared" si="56"/>
        <v>304840523</v>
      </c>
      <c r="F150" s="28">
        <v>21180054</v>
      </c>
      <c r="G150" s="26">
        <v>771837</v>
      </c>
      <c r="H150" s="28">
        <v>1866225</v>
      </c>
      <c r="I150" s="29">
        <v>10114300</v>
      </c>
      <c r="J150" s="26">
        <v>9856320</v>
      </c>
      <c r="K150" s="28">
        <v>9767461</v>
      </c>
      <c r="L150" s="26">
        <v>50600711</v>
      </c>
      <c r="M150" s="26">
        <v>48012684</v>
      </c>
      <c r="N150" s="30">
        <f t="shared" si="57"/>
        <v>128351476</v>
      </c>
      <c r="O150" s="31">
        <v>451153310</v>
      </c>
      <c r="P150" s="32">
        <v>50029781</v>
      </c>
      <c r="Q150" s="26">
        <v>11469451</v>
      </c>
      <c r="R150" s="26">
        <v>8199359</v>
      </c>
      <c r="S150" s="26">
        <v>101745596</v>
      </c>
      <c r="T150" s="26">
        <v>133396336</v>
      </c>
      <c r="U150" s="27">
        <f t="shared" si="58"/>
        <v>304840523</v>
      </c>
    </row>
    <row r="151" spans="1:98" ht="18" customHeight="1" x14ac:dyDescent="0.3">
      <c r="A151" s="11">
        <v>2011</v>
      </c>
      <c r="B151" s="12" t="s">
        <v>5</v>
      </c>
      <c r="C151" s="25">
        <v>3368668650</v>
      </c>
      <c r="D151" s="26">
        <f t="shared" si="55"/>
        <v>124017392</v>
      </c>
      <c r="E151" s="27">
        <f t="shared" si="56"/>
        <v>297625625</v>
      </c>
      <c r="F151" s="28">
        <v>20516925</v>
      </c>
      <c r="G151" s="26">
        <v>746603</v>
      </c>
      <c r="H151" s="28">
        <v>1802351</v>
      </c>
      <c r="I151" s="29">
        <v>9069285</v>
      </c>
      <c r="J151" s="26">
        <v>7697876</v>
      </c>
      <c r="K151" s="28">
        <v>7540842</v>
      </c>
      <c r="L151" s="26">
        <v>52380973</v>
      </c>
      <c r="M151" s="26">
        <v>47328416</v>
      </c>
      <c r="N151" s="30">
        <f t="shared" si="57"/>
        <v>124017392</v>
      </c>
      <c r="O151" s="31">
        <v>399358511</v>
      </c>
      <c r="P151" s="32">
        <v>44262106</v>
      </c>
      <c r="Q151" s="26">
        <v>11031493</v>
      </c>
      <c r="R151" s="26">
        <v>7016168</v>
      </c>
      <c r="S151" s="26">
        <v>103664547</v>
      </c>
      <c r="T151" s="26">
        <v>131651311</v>
      </c>
      <c r="U151" s="27">
        <f t="shared" si="58"/>
        <v>297625625</v>
      </c>
    </row>
    <row r="152" spans="1:98" ht="18" customHeight="1" x14ac:dyDescent="0.3">
      <c r="A152" s="11">
        <v>2011</v>
      </c>
      <c r="B152" s="12" t="s">
        <v>6</v>
      </c>
      <c r="C152" s="25">
        <v>3527429161</v>
      </c>
      <c r="D152" s="26">
        <f t="shared" si="55"/>
        <v>128698813</v>
      </c>
      <c r="E152" s="27">
        <f t="shared" si="56"/>
        <v>311869030</v>
      </c>
      <c r="F152" s="28">
        <v>21213295</v>
      </c>
      <c r="G152" s="26">
        <v>771554</v>
      </c>
      <c r="H152" s="28">
        <v>1865318</v>
      </c>
      <c r="I152" s="29">
        <v>9797775</v>
      </c>
      <c r="J152" s="26">
        <v>9130520</v>
      </c>
      <c r="K152" s="28">
        <v>7595829</v>
      </c>
      <c r="L152" s="26">
        <v>53130431</v>
      </c>
      <c r="M152" s="26">
        <v>49044258</v>
      </c>
      <c r="N152" s="30">
        <f t="shared" si="57"/>
        <v>128698813</v>
      </c>
      <c r="O152" s="31">
        <v>431010318</v>
      </c>
      <c r="P152" s="32">
        <v>47730334</v>
      </c>
      <c r="Q152" s="26">
        <v>11756521</v>
      </c>
      <c r="R152" s="26">
        <v>7489214</v>
      </c>
      <c r="S152" s="26">
        <v>106038115</v>
      </c>
      <c r="T152" s="26">
        <v>138854846</v>
      </c>
      <c r="U152" s="27">
        <f t="shared" si="58"/>
        <v>311869030</v>
      </c>
    </row>
    <row r="153" spans="1:98" ht="18" customHeight="1" x14ac:dyDescent="0.3">
      <c r="A153" s="11">
        <v>2011</v>
      </c>
      <c r="B153" s="12" t="s">
        <v>7</v>
      </c>
      <c r="C153" s="25">
        <v>3361817762</v>
      </c>
      <c r="D153" s="26">
        <f t="shared" si="55"/>
        <v>122043338</v>
      </c>
      <c r="E153" s="27">
        <f t="shared" si="56"/>
        <v>295991341</v>
      </c>
      <c r="F153" s="28">
        <v>20644462</v>
      </c>
      <c r="G153" s="26">
        <v>747199</v>
      </c>
      <c r="H153" s="28">
        <v>1807456</v>
      </c>
      <c r="I153" s="29">
        <v>9255074</v>
      </c>
      <c r="J153" s="26">
        <v>9987514</v>
      </c>
      <c r="K153" s="28">
        <v>10119968</v>
      </c>
      <c r="L153" s="26">
        <v>46260883</v>
      </c>
      <c r="M153" s="26">
        <v>46419899</v>
      </c>
      <c r="N153" s="30">
        <f t="shared" si="57"/>
        <v>122043338</v>
      </c>
      <c r="O153" s="31">
        <v>392496238</v>
      </c>
      <c r="P153" s="32">
        <v>43447622</v>
      </c>
      <c r="Q153" s="26">
        <v>12281133</v>
      </c>
      <c r="R153" s="26">
        <v>8070670</v>
      </c>
      <c r="S153" s="26">
        <v>101898874</v>
      </c>
      <c r="T153" s="26">
        <v>130293042</v>
      </c>
      <c r="U153" s="27">
        <f t="shared" si="58"/>
        <v>295991341</v>
      </c>
    </row>
    <row r="154" spans="1:98" ht="18" customHeight="1" x14ac:dyDescent="0.3">
      <c r="A154" s="11">
        <v>2011</v>
      </c>
      <c r="B154" s="12" t="s">
        <v>8</v>
      </c>
      <c r="C154" s="25">
        <v>3390297942</v>
      </c>
      <c r="D154" s="26">
        <f t="shared" si="55"/>
        <v>120951781</v>
      </c>
      <c r="E154" s="27">
        <f t="shared" si="56"/>
        <v>297209156</v>
      </c>
      <c r="F154" s="28">
        <v>21363935</v>
      </c>
      <c r="G154" s="26">
        <v>770323</v>
      </c>
      <c r="H154" s="28">
        <v>1861546</v>
      </c>
      <c r="I154" s="29">
        <v>9202978</v>
      </c>
      <c r="J154" s="26">
        <v>9233172</v>
      </c>
      <c r="K154" s="28">
        <v>9486334</v>
      </c>
      <c r="L154" s="26">
        <v>46204049</v>
      </c>
      <c r="M154" s="26">
        <v>46825248</v>
      </c>
      <c r="N154" s="30">
        <f t="shared" si="57"/>
        <v>120951781</v>
      </c>
      <c r="O154" s="31">
        <v>380080942</v>
      </c>
      <c r="P154" s="32">
        <v>42115504</v>
      </c>
      <c r="Q154" s="26">
        <v>12062357</v>
      </c>
      <c r="R154" s="26">
        <v>7814172</v>
      </c>
      <c r="S154" s="26">
        <v>102092224</v>
      </c>
      <c r="T154" s="26">
        <v>133124899</v>
      </c>
      <c r="U154" s="27">
        <f t="shared" si="58"/>
        <v>297209156</v>
      </c>
    </row>
    <row r="155" spans="1:98" ht="18" customHeight="1" x14ac:dyDescent="0.3">
      <c r="A155" s="11">
        <v>2011</v>
      </c>
      <c r="B155" s="12" t="s">
        <v>9</v>
      </c>
      <c r="C155" s="25">
        <v>3356387792</v>
      </c>
      <c r="D155" s="26">
        <f t="shared" si="55"/>
        <v>120689078</v>
      </c>
      <c r="E155" s="27">
        <f t="shared" si="56"/>
        <v>295383281</v>
      </c>
      <c r="F155" s="28">
        <v>21344054</v>
      </c>
      <c r="G155" s="26">
        <v>771056</v>
      </c>
      <c r="H155" s="28">
        <v>1863299</v>
      </c>
      <c r="I155" s="29">
        <v>10100017</v>
      </c>
      <c r="J155" s="26">
        <v>8713567</v>
      </c>
      <c r="K155" s="28">
        <v>9626495</v>
      </c>
      <c r="L155" s="26">
        <v>44137753</v>
      </c>
      <c r="M155" s="26">
        <v>48111246</v>
      </c>
      <c r="N155" s="30">
        <f t="shared" si="57"/>
        <v>120689078</v>
      </c>
      <c r="O155" s="31">
        <v>424487185</v>
      </c>
      <c r="P155" s="32">
        <v>47066168</v>
      </c>
      <c r="Q155" s="26">
        <v>12250000</v>
      </c>
      <c r="R155" s="26">
        <v>7918948</v>
      </c>
      <c r="S155" s="26">
        <v>92563688</v>
      </c>
      <c r="T155" s="26">
        <v>135584477</v>
      </c>
      <c r="U155" s="27">
        <f t="shared" si="58"/>
        <v>295383281</v>
      </c>
    </row>
    <row r="156" spans="1:98" ht="18" customHeight="1" x14ac:dyDescent="0.3">
      <c r="A156" s="11">
        <v>2011</v>
      </c>
      <c r="B156" s="12" t="s">
        <v>10</v>
      </c>
      <c r="C156" s="25">
        <v>3174956443</v>
      </c>
      <c r="D156" s="26">
        <f t="shared" si="55"/>
        <v>115154239</v>
      </c>
      <c r="E156" s="27">
        <f t="shared" si="56"/>
        <v>280237926</v>
      </c>
      <c r="F156" s="28">
        <v>20496966</v>
      </c>
      <c r="G156" s="26">
        <v>744131</v>
      </c>
      <c r="H156" s="28">
        <v>1797582</v>
      </c>
      <c r="I156" s="29">
        <v>9755534</v>
      </c>
      <c r="J156" s="26">
        <v>8240995</v>
      </c>
      <c r="K156" s="28">
        <v>7448256</v>
      </c>
      <c r="L156" s="26">
        <v>43914048</v>
      </c>
      <c r="M156" s="26">
        <v>45795406</v>
      </c>
      <c r="N156" s="30">
        <f t="shared" si="57"/>
        <v>115154239</v>
      </c>
      <c r="O156" s="31">
        <v>423519311</v>
      </c>
      <c r="P156" s="32">
        <v>47049249</v>
      </c>
      <c r="Q156" s="26">
        <v>11498880</v>
      </c>
      <c r="R156" s="26">
        <v>6253481</v>
      </c>
      <c r="S156" s="26">
        <v>85845646</v>
      </c>
      <c r="T156" s="26">
        <v>129590670</v>
      </c>
      <c r="U156" s="27">
        <f t="shared" si="58"/>
        <v>280237926</v>
      </c>
    </row>
    <row r="157" spans="1:98" ht="18" customHeight="1" x14ac:dyDescent="0.3">
      <c r="A157" s="11">
        <v>2011</v>
      </c>
      <c r="B157" s="12" t="s">
        <v>11</v>
      </c>
      <c r="C157" s="25">
        <v>3282640006</v>
      </c>
      <c r="D157" s="26">
        <f t="shared" si="55"/>
        <v>121512725</v>
      </c>
      <c r="E157" s="27">
        <f t="shared" si="56"/>
        <v>291729908</v>
      </c>
      <c r="F157" s="28">
        <v>21113620</v>
      </c>
      <c r="G157" s="26">
        <v>769408</v>
      </c>
      <c r="H157" s="28">
        <v>1859379</v>
      </c>
      <c r="I157" s="29">
        <v>9968991</v>
      </c>
      <c r="J157" s="26">
        <v>9428306</v>
      </c>
      <c r="K157" s="28">
        <v>6952565</v>
      </c>
      <c r="L157" s="26">
        <v>47198268</v>
      </c>
      <c r="M157" s="26">
        <v>47964595</v>
      </c>
      <c r="N157" s="30">
        <f t="shared" si="57"/>
        <v>121512725</v>
      </c>
      <c r="O157" s="31">
        <v>434179112</v>
      </c>
      <c r="P157" s="32">
        <v>48477125</v>
      </c>
      <c r="Q157" s="26">
        <v>12210871</v>
      </c>
      <c r="R157" s="26">
        <v>6191110</v>
      </c>
      <c r="S157" s="26">
        <v>88969805</v>
      </c>
      <c r="T157" s="26">
        <v>135880997</v>
      </c>
      <c r="U157" s="27">
        <f t="shared" si="58"/>
        <v>291729908</v>
      </c>
    </row>
    <row r="158" spans="1:98" ht="18" customHeight="1" x14ac:dyDescent="0.3">
      <c r="A158" s="11">
        <v>2011</v>
      </c>
      <c r="B158" s="12" t="s">
        <v>12</v>
      </c>
      <c r="C158" s="25">
        <v>3205364283</v>
      </c>
      <c r="D158" s="26">
        <f t="shared" si="55"/>
        <v>121502692</v>
      </c>
      <c r="E158" s="27">
        <f t="shared" si="56"/>
        <v>287538431</v>
      </c>
      <c r="F158" s="28">
        <v>20269666</v>
      </c>
      <c r="G158" s="26">
        <v>744626</v>
      </c>
      <c r="H158" s="28">
        <v>1799574</v>
      </c>
      <c r="I158" s="29">
        <v>9983020</v>
      </c>
      <c r="J158" s="26">
        <v>10155562</v>
      </c>
      <c r="K158" s="28">
        <v>5661646</v>
      </c>
      <c r="L158" s="26">
        <v>49290931</v>
      </c>
      <c r="M158" s="26">
        <v>46411533</v>
      </c>
      <c r="N158" s="30">
        <f t="shared" si="57"/>
        <v>121502692</v>
      </c>
      <c r="O158" s="31">
        <v>432276464</v>
      </c>
      <c r="P158" s="32">
        <v>48221500</v>
      </c>
      <c r="Q158" s="26">
        <v>11753624</v>
      </c>
      <c r="R158" s="26">
        <v>5311004</v>
      </c>
      <c r="S158" s="26">
        <v>92437337</v>
      </c>
      <c r="T158" s="26">
        <v>129814966</v>
      </c>
      <c r="U158" s="27">
        <f t="shared" si="58"/>
        <v>287538431</v>
      </c>
    </row>
    <row r="159" spans="1:98" s="6" customFormat="1" ht="18" customHeight="1" thickBot="1" x14ac:dyDescent="0.35">
      <c r="A159" s="11">
        <v>2011</v>
      </c>
      <c r="B159" s="12" t="s">
        <v>13</v>
      </c>
      <c r="C159" s="25">
        <v>3352871165</v>
      </c>
      <c r="D159" s="26">
        <f t="shared" si="55"/>
        <v>128306814</v>
      </c>
      <c r="E159" s="27">
        <f t="shared" si="56"/>
        <v>300967666</v>
      </c>
      <c r="F159" s="28">
        <v>20929208</v>
      </c>
      <c r="G159" s="26">
        <v>769537</v>
      </c>
      <c r="H159" s="28">
        <v>1859441</v>
      </c>
      <c r="I159" s="29">
        <v>10005335</v>
      </c>
      <c r="J159" s="26">
        <v>8993614</v>
      </c>
      <c r="K159" s="28">
        <v>4214257</v>
      </c>
      <c r="L159" s="26">
        <v>56054922</v>
      </c>
      <c r="M159" s="26">
        <v>49038686</v>
      </c>
      <c r="N159" s="30">
        <f t="shared" si="57"/>
        <v>128306814</v>
      </c>
      <c r="O159" s="31">
        <v>420946400</v>
      </c>
      <c r="P159" s="32">
        <v>46974062</v>
      </c>
      <c r="Q159" s="26">
        <v>11158950</v>
      </c>
      <c r="R159" s="26">
        <v>4422485</v>
      </c>
      <c r="S159" s="26">
        <v>103281523</v>
      </c>
      <c r="T159" s="26">
        <v>135130646</v>
      </c>
      <c r="U159" s="27">
        <f t="shared" si="58"/>
        <v>300967666</v>
      </c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</row>
    <row r="160" spans="1:98" s="22" customFormat="1" ht="18" customHeight="1" thickTop="1" thickBot="1" x14ac:dyDescent="0.35">
      <c r="A160" s="20">
        <v>2011</v>
      </c>
      <c r="B160" s="21" t="s">
        <v>14</v>
      </c>
      <c r="C160" s="33">
        <f t="shared" ref="C160:U160" si="59">SUM(C148:C159)</f>
        <v>39736180048</v>
      </c>
      <c r="D160" s="34">
        <f t="shared" si="59"/>
        <v>1470281896</v>
      </c>
      <c r="E160" s="35">
        <f t="shared" si="59"/>
        <v>3521030804</v>
      </c>
      <c r="F160" s="36">
        <f t="shared" si="59"/>
        <v>249202141</v>
      </c>
      <c r="G160" s="34">
        <f t="shared" si="59"/>
        <v>9075023</v>
      </c>
      <c r="H160" s="36">
        <f t="shared" si="59"/>
        <v>21933721</v>
      </c>
      <c r="I160" s="37">
        <f t="shared" si="59"/>
        <v>116488070</v>
      </c>
      <c r="J160" s="34">
        <f t="shared" si="59"/>
        <v>107064705</v>
      </c>
      <c r="K160" s="36">
        <f t="shared" si="59"/>
        <v>91617551</v>
      </c>
      <c r="L160" s="34">
        <f t="shared" si="59"/>
        <v>588328224</v>
      </c>
      <c r="M160" s="34">
        <f t="shared" si="59"/>
        <v>566783346</v>
      </c>
      <c r="N160" s="38">
        <f t="shared" si="59"/>
        <v>1470281896</v>
      </c>
      <c r="O160" s="39">
        <f t="shared" si="59"/>
        <v>5023250964</v>
      </c>
      <c r="P160" s="40">
        <f t="shared" si="59"/>
        <v>557999890</v>
      </c>
      <c r="Q160" s="34">
        <f t="shared" si="59"/>
        <v>138931414</v>
      </c>
      <c r="R160" s="34">
        <f t="shared" si="59"/>
        <v>80850306</v>
      </c>
      <c r="S160" s="34">
        <f t="shared" si="59"/>
        <v>1158510877</v>
      </c>
      <c r="T160" s="34">
        <f t="shared" si="59"/>
        <v>1584738317</v>
      </c>
      <c r="U160" s="35">
        <f t="shared" si="59"/>
        <v>3521030804</v>
      </c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1:98" ht="18" customHeight="1" thickTop="1" x14ac:dyDescent="0.3">
      <c r="A161" s="11">
        <v>2012</v>
      </c>
      <c r="B161" s="12" t="s">
        <v>2</v>
      </c>
      <c r="C161" s="25">
        <v>3503922644</v>
      </c>
      <c r="D161" s="26">
        <f t="shared" ref="D161:D172" si="60">+N161</f>
        <v>132651332</v>
      </c>
      <c r="E161" s="27">
        <f t="shared" ref="E161:E172" si="61">+U161</f>
        <v>312805151</v>
      </c>
      <c r="F161" s="28">
        <v>21057704</v>
      </c>
      <c r="G161" s="26">
        <v>769180</v>
      </c>
      <c r="H161" s="28">
        <v>1859368</v>
      </c>
      <c r="I161" s="29">
        <v>10022939</v>
      </c>
      <c r="J161" s="26">
        <v>7684366</v>
      </c>
      <c r="K161" s="28">
        <v>5618060</v>
      </c>
      <c r="L161" s="26">
        <v>59046312</v>
      </c>
      <c r="M161" s="26">
        <v>50279655</v>
      </c>
      <c r="N161" s="30">
        <f t="shared" ref="N161:N172" si="62">SUM(I161:M161)</f>
        <v>132651332</v>
      </c>
      <c r="O161" s="31">
        <v>438031771</v>
      </c>
      <c r="P161" s="32">
        <v>48800744</v>
      </c>
      <c r="Q161" s="26">
        <v>12312058</v>
      </c>
      <c r="R161" s="26">
        <v>5815276</v>
      </c>
      <c r="S161" s="26">
        <v>107976680</v>
      </c>
      <c r="T161" s="26">
        <v>137900393</v>
      </c>
      <c r="U161" s="27">
        <f t="shared" ref="U161:U172" si="63">SUM(P161:T161)</f>
        <v>312805151</v>
      </c>
    </row>
    <row r="162" spans="1:98" ht="18" customHeight="1" x14ac:dyDescent="0.3">
      <c r="A162" s="11">
        <v>2012</v>
      </c>
      <c r="B162" s="12" t="s">
        <v>3</v>
      </c>
      <c r="C162" s="25">
        <v>3406725978</v>
      </c>
      <c r="D162" s="26">
        <f t="shared" si="60"/>
        <v>127297587</v>
      </c>
      <c r="E162" s="27">
        <f t="shared" si="61"/>
        <v>302751388</v>
      </c>
      <c r="F162" s="28">
        <v>19789189</v>
      </c>
      <c r="G162" s="26">
        <v>720156</v>
      </c>
      <c r="H162" s="28">
        <v>1740905</v>
      </c>
      <c r="I162" s="29">
        <v>9197440</v>
      </c>
      <c r="J162" s="26">
        <v>7833640</v>
      </c>
      <c r="K162" s="28">
        <v>6137864</v>
      </c>
      <c r="L162" s="26">
        <v>55551538</v>
      </c>
      <c r="M162" s="26">
        <v>48577105</v>
      </c>
      <c r="N162" s="30">
        <f t="shared" si="62"/>
        <v>127297587</v>
      </c>
      <c r="O162" s="31">
        <v>399572287</v>
      </c>
      <c r="P162" s="32">
        <v>44457712</v>
      </c>
      <c r="Q162" s="26">
        <v>11611530</v>
      </c>
      <c r="R162" s="26">
        <v>6765826</v>
      </c>
      <c r="S162" s="26">
        <v>105791551</v>
      </c>
      <c r="T162" s="26">
        <v>134124769</v>
      </c>
      <c r="U162" s="27">
        <f t="shared" si="63"/>
        <v>302751388</v>
      </c>
    </row>
    <row r="163" spans="1:98" ht="18" customHeight="1" x14ac:dyDescent="0.3">
      <c r="A163" s="11">
        <v>2012</v>
      </c>
      <c r="B163" s="12" t="s">
        <v>4</v>
      </c>
      <c r="C163" s="25">
        <v>3695520970</v>
      </c>
      <c r="D163" s="26">
        <f t="shared" si="60"/>
        <v>137580540</v>
      </c>
      <c r="E163" s="27">
        <f t="shared" si="61"/>
        <v>328221516</v>
      </c>
      <c r="F163" s="28">
        <v>21147366</v>
      </c>
      <c r="G163" s="26">
        <v>769487</v>
      </c>
      <c r="H163" s="28">
        <v>1860084</v>
      </c>
      <c r="I163" s="29">
        <v>9715135</v>
      </c>
      <c r="J163" s="26">
        <v>8454836</v>
      </c>
      <c r="K163" s="28">
        <v>6682534</v>
      </c>
      <c r="L163" s="26">
        <v>60904898</v>
      </c>
      <c r="M163" s="26">
        <v>51823137</v>
      </c>
      <c r="N163" s="30">
        <f t="shared" si="62"/>
        <v>137580540</v>
      </c>
      <c r="O163" s="31">
        <v>420505308</v>
      </c>
      <c r="P163" s="32">
        <v>46856956</v>
      </c>
      <c r="Q163" s="26">
        <v>11718931</v>
      </c>
      <c r="R163" s="26">
        <v>8601761</v>
      </c>
      <c r="S163" s="26">
        <v>116437507</v>
      </c>
      <c r="T163" s="26">
        <v>144606361</v>
      </c>
      <c r="U163" s="27">
        <f t="shared" si="63"/>
        <v>328221516</v>
      </c>
    </row>
    <row r="164" spans="1:98" ht="18" customHeight="1" x14ac:dyDescent="0.3">
      <c r="A164" s="11">
        <v>2012</v>
      </c>
      <c r="B164" s="12" t="s">
        <v>5</v>
      </c>
      <c r="C164" s="25">
        <v>3527542167</v>
      </c>
      <c r="D164" s="26">
        <f t="shared" si="60"/>
        <v>129688971</v>
      </c>
      <c r="E164" s="27">
        <f t="shared" si="61"/>
        <v>312987710</v>
      </c>
      <c r="F164" s="28">
        <v>20482835</v>
      </c>
      <c r="G164" s="26">
        <v>744801</v>
      </c>
      <c r="H164" s="28">
        <v>1800275</v>
      </c>
      <c r="I164" s="29">
        <v>9447845</v>
      </c>
      <c r="J164" s="26">
        <v>8023994</v>
      </c>
      <c r="K164" s="28">
        <v>7168289</v>
      </c>
      <c r="L164" s="26">
        <v>55983417</v>
      </c>
      <c r="M164" s="26">
        <v>49065426</v>
      </c>
      <c r="N164" s="30">
        <f t="shared" si="62"/>
        <v>129688971</v>
      </c>
      <c r="O164" s="31">
        <v>407743772</v>
      </c>
      <c r="P164" s="32">
        <v>45421899</v>
      </c>
      <c r="Q164" s="26">
        <v>11569461</v>
      </c>
      <c r="R164" s="26">
        <v>7563294</v>
      </c>
      <c r="S164" s="26">
        <v>109552202</v>
      </c>
      <c r="T164" s="26">
        <v>138880854</v>
      </c>
      <c r="U164" s="27">
        <f t="shared" si="63"/>
        <v>312987710</v>
      </c>
    </row>
    <row r="165" spans="1:98" ht="18" customHeight="1" x14ac:dyDescent="0.3">
      <c r="A165" s="11">
        <v>2012</v>
      </c>
      <c r="B165" s="12" t="s">
        <v>6</v>
      </c>
      <c r="C165" s="25">
        <v>3632724020</v>
      </c>
      <c r="D165" s="26">
        <f t="shared" si="60"/>
        <v>131091814</v>
      </c>
      <c r="E165" s="27">
        <f t="shared" si="61"/>
        <v>321202050</v>
      </c>
      <c r="F165" s="28">
        <v>21198596</v>
      </c>
      <c r="G165" s="26">
        <v>768996</v>
      </c>
      <c r="H165" s="28">
        <v>1857956</v>
      </c>
      <c r="I165" s="29">
        <v>9483829</v>
      </c>
      <c r="J165" s="26">
        <v>8544235</v>
      </c>
      <c r="K165" s="28">
        <v>7444071</v>
      </c>
      <c r="L165" s="26">
        <v>56176489</v>
      </c>
      <c r="M165" s="26">
        <v>49443190</v>
      </c>
      <c r="N165" s="30">
        <f t="shared" si="62"/>
        <v>131091814</v>
      </c>
      <c r="O165" s="31">
        <v>410933934</v>
      </c>
      <c r="P165" s="32">
        <v>45767891</v>
      </c>
      <c r="Q165" s="26">
        <v>11952093</v>
      </c>
      <c r="R165" s="26">
        <v>8054627</v>
      </c>
      <c r="S165" s="26">
        <v>113569415</v>
      </c>
      <c r="T165" s="26">
        <v>141858024</v>
      </c>
      <c r="U165" s="27">
        <f t="shared" si="63"/>
        <v>321202050</v>
      </c>
    </row>
    <row r="166" spans="1:98" ht="18" customHeight="1" x14ac:dyDescent="0.3">
      <c r="A166" s="11">
        <v>2012</v>
      </c>
      <c r="B166" s="12" t="s">
        <v>7</v>
      </c>
      <c r="C166" s="25">
        <v>3421683809</v>
      </c>
      <c r="D166" s="26">
        <f t="shared" si="60"/>
        <v>123800958</v>
      </c>
      <c r="E166" s="27">
        <f t="shared" si="61"/>
        <v>302070166</v>
      </c>
      <c r="F166" s="28">
        <v>20590647</v>
      </c>
      <c r="G166" s="26">
        <v>744236</v>
      </c>
      <c r="H166" s="28">
        <v>1797631</v>
      </c>
      <c r="I166" s="29">
        <v>8956835</v>
      </c>
      <c r="J166" s="26">
        <v>7921570</v>
      </c>
      <c r="K166" s="28">
        <v>7780489</v>
      </c>
      <c r="L166" s="26">
        <v>50471720</v>
      </c>
      <c r="M166" s="26">
        <v>48670344</v>
      </c>
      <c r="N166" s="30">
        <f t="shared" si="62"/>
        <v>123800958</v>
      </c>
      <c r="O166" s="31">
        <v>368961035</v>
      </c>
      <c r="P166" s="32">
        <v>40985960</v>
      </c>
      <c r="Q166" s="26">
        <v>11113027</v>
      </c>
      <c r="R166" s="26">
        <v>7586719</v>
      </c>
      <c r="S166" s="26">
        <v>106995792</v>
      </c>
      <c r="T166" s="26">
        <v>135388668</v>
      </c>
      <c r="U166" s="27">
        <f t="shared" si="63"/>
        <v>302070166</v>
      </c>
    </row>
    <row r="167" spans="1:98" ht="18" customHeight="1" x14ac:dyDescent="0.3">
      <c r="A167" s="11">
        <v>2012</v>
      </c>
      <c r="B167" s="12" t="s">
        <v>8</v>
      </c>
      <c r="C167" s="25">
        <v>3395054264</v>
      </c>
      <c r="D167" s="26">
        <f t="shared" si="60"/>
        <v>122924110</v>
      </c>
      <c r="E167" s="27">
        <f t="shared" si="61"/>
        <v>298342568</v>
      </c>
      <c r="F167" s="28">
        <v>21301185</v>
      </c>
      <c r="G167" s="26">
        <v>769151</v>
      </c>
      <c r="H167" s="28">
        <v>1857373</v>
      </c>
      <c r="I167" s="29">
        <v>9804407</v>
      </c>
      <c r="J167" s="26">
        <v>9611121</v>
      </c>
      <c r="K167" s="28">
        <v>9500830</v>
      </c>
      <c r="L167" s="26">
        <v>45153761</v>
      </c>
      <c r="M167" s="26">
        <v>48853991</v>
      </c>
      <c r="N167" s="30">
        <f t="shared" si="62"/>
        <v>122924110</v>
      </c>
      <c r="O167" s="31">
        <v>393924371</v>
      </c>
      <c r="P167" s="32">
        <v>43482329</v>
      </c>
      <c r="Q167" s="26">
        <v>11962449</v>
      </c>
      <c r="R167" s="26">
        <v>8043730</v>
      </c>
      <c r="S167" s="26">
        <v>98670768</v>
      </c>
      <c r="T167" s="26">
        <v>136183292</v>
      </c>
      <c r="U167" s="27">
        <f t="shared" si="63"/>
        <v>298342568</v>
      </c>
    </row>
    <row r="168" spans="1:98" ht="18" customHeight="1" x14ac:dyDescent="0.3">
      <c r="A168" s="11">
        <v>2012</v>
      </c>
      <c r="B168" s="12" t="s">
        <v>9</v>
      </c>
      <c r="C168" s="25">
        <v>3189335715</v>
      </c>
      <c r="D168" s="26">
        <f t="shared" si="60"/>
        <v>117041997</v>
      </c>
      <c r="E168" s="27">
        <f t="shared" si="61"/>
        <v>278618345</v>
      </c>
      <c r="F168" s="28">
        <v>21077242</v>
      </c>
      <c r="G168" s="26">
        <v>760372</v>
      </c>
      <c r="H168" s="28">
        <v>1830212</v>
      </c>
      <c r="I168" s="29">
        <v>10134406</v>
      </c>
      <c r="J168" s="26">
        <v>10638203</v>
      </c>
      <c r="K168" s="28">
        <v>9654024</v>
      </c>
      <c r="L168" s="26">
        <v>39502284</v>
      </c>
      <c r="M168" s="26">
        <v>47113080</v>
      </c>
      <c r="N168" s="30">
        <f t="shared" si="62"/>
        <v>117041997</v>
      </c>
      <c r="O168" s="31">
        <v>426711319</v>
      </c>
      <c r="P168" s="32">
        <v>47074741</v>
      </c>
      <c r="Q168" s="26">
        <v>11873900</v>
      </c>
      <c r="R168" s="26">
        <v>8074435</v>
      </c>
      <c r="S168" s="26">
        <v>78732852</v>
      </c>
      <c r="T168" s="26">
        <v>132862417</v>
      </c>
      <c r="U168" s="27">
        <f t="shared" si="63"/>
        <v>278618345</v>
      </c>
    </row>
    <row r="169" spans="1:98" ht="18" customHeight="1" x14ac:dyDescent="0.3">
      <c r="A169" s="11">
        <v>2012</v>
      </c>
      <c r="B169" s="12" t="s">
        <v>10</v>
      </c>
      <c r="C169" s="25">
        <v>3078335025</v>
      </c>
      <c r="D169" s="26">
        <f t="shared" si="60"/>
        <v>114173498</v>
      </c>
      <c r="E169" s="27">
        <f t="shared" si="61"/>
        <v>271761230</v>
      </c>
      <c r="F169" s="28">
        <v>20207326</v>
      </c>
      <c r="G169" s="26">
        <v>735844</v>
      </c>
      <c r="H169" s="28">
        <v>1771173</v>
      </c>
      <c r="I169" s="29">
        <v>9042229</v>
      </c>
      <c r="J169" s="26">
        <v>10145176</v>
      </c>
      <c r="K169" s="28">
        <v>7158812</v>
      </c>
      <c r="L169" s="26">
        <v>42625261</v>
      </c>
      <c r="M169" s="26">
        <v>45202020</v>
      </c>
      <c r="N169" s="30">
        <f t="shared" si="62"/>
        <v>114173498</v>
      </c>
      <c r="O169" s="31">
        <v>401720443</v>
      </c>
      <c r="P169" s="32">
        <v>44761145</v>
      </c>
      <c r="Q169" s="26">
        <v>11603477</v>
      </c>
      <c r="R169" s="26">
        <v>6795556</v>
      </c>
      <c r="S169" s="26">
        <v>82233316</v>
      </c>
      <c r="T169" s="26">
        <v>126367736</v>
      </c>
      <c r="U169" s="27">
        <f t="shared" si="63"/>
        <v>271761230</v>
      </c>
    </row>
    <row r="170" spans="1:98" ht="18" customHeight="1" x14ac:dyDescent="0.3">
      <c r="A170" s="11">
        <v>2012</v>
      </c>
      <c r="B170" s="12" t="s">
        <v>11</v>
      </c>
      <c r="C170" s="25">
        <v>3195454758</v>
      </c>
      <c r="D170" s="26">
        <f t="shared" si="60"/>
        <v>120300511</v>
      </c>
      <c r="E170" s="27">
        <f t="shared" si="61"/>
        <v>284337366</v>
      </c>
      <c r="F170" s="28">
        <v>20733989</v>
      </c>
      <c r="G170" s="26">
        <v>760372</v>
      </c>
      <c r="H170" s="28">
        <v>1830212</v>
      </c>
      <c r="I170" s="29">
        <v>10388808</v>
      </c>
      <c r="J170" s="26">
        <v>11904254</v>
      </c>
      <c r="K170" s="28">
        <v>7195858</v>
      </c>
      <c r="L170" s="26">
        <v>43389493</v>
      </c>
      <c r="M170" s="26">
        <v>47422098</v>
      </c>
      <c r="N170" s="30">
        <f t="shared" si="62"/>
        <v>120300511</v>
      </c>
      <c r="O170" s="31">
        <v>445321097</v>
      </c>
      <c r="P170" s="32">
        <v>49614114</v>
      </c>
      <c r="Q170" s="26">
        <v>12901761</v>
      </c>
      <c r="R170" s="26">
        <v>7279847</v>
      </c>
      <c r="S170" s="26">
        <v>82924118</v>
      </c>
      <c r="T170" s="26">
        <v>131617526</v>
      </c>
      <c r="U170" s="27">
        <f t="shared" si="63"/>
        <v>284337366</v>
      </c>
    </row>
    <row r="171" spans="1:98" ht="18" customHeight="1" x14ac:dyDescent="0.3">
      <c r="A171" s="11">
        <v>2012</v>
      </c>
      <c r="B171" s="12" t="s">
        <v>12</v>
      </c>
      <c r="C171" s="25">
        <v>3154388743</v>
      </c>
      <c r="D171" s="26">
        <f t="shared" si="60"/>
        <v>120965834</v>
      </c>
      <c r="E171" s="27">
        <f t="shared" si="61"/>
        <v>282500621</v>
      </c>
      <c r="F171" s="28">
        <v>19993197</v>
      </c>
      <c r="G171" s="26">
        <v>735844</v>
      </c>
      <c r="H171" s="28">
        <v>1771173</v>
      </c>
      <c r="I171" s="29">
        <v>10106758</v>
      </c>
      <c r="J171" s="26">
        <v>12515922</v>
      </c>
      <c r="K171" s="28">
        <v>5811297</v>
      </c>
      <c r="L171" s="26">
        <v>44385499</v>
      </c>
      <c r="M171" s="26">
        <v>48146358</v>
      </c>
      <c r="N171" s="30">
        <f t="shared" si="62"/>
        <v>120965834</v>
      </c>
      <c r="O171" s="31">
        <v>424433403</v>
      </c>
      <c r="P171" s="32">
        <v>47337120</v>
      </c>
      <c r="Q171" s="26">
        <v>12031315</v>
      </c>
      <c r="R171" s="26">
        <v>6035806</v>
      </c>
      <c r="S171" s="26">
        <v>85491180</v>
      </c>
      <c r="T171" s="26">
        <v>131605200</v>
      </c>
      <c r="U171" s="27">
        <f t="shared" si="63"/>
        <v>282500621</v>
      </c>
    </row>
    <row r="172" spans="1:98" s="6" customFormat="1" ht="18" customHeight="1" thickBot="1" x14ac:dyDescent="0.35">
      <c r="A172" s="13">
        <v>2012</v>
      </c>
      <c r="B172" s="7" t="s">
        <v>13</v>
      </c>
      <c r="C172" s="41">
        <v>3303044903</v>
      </c>
      <c r="D172" s="42">
        <f t="shared" si="60"/>
        <v>127271710</v>
      </c>
      <c r="E172" s="43">
        <f t="shared" si="61"/>
        <v>295971981</v>
      </c>
      <c r="F172" s="44">
        <v>20625753</v>
      </c>
      <c r="G172" s="42">
        <v>760372</v>
      </c>
      <c r="H172" s="44">
        <v>1830212</v>
      </c>
      <c r="I172" s="45">
        <v>10130143</v>
      </c>
      <c r="J172" s="42">
        <v>8305628</v>
      </c>
      <c r="K172" s="44">
        <v>4125395</v>
      </c>
      <c r="L172" s="42">
        <v>53465839</v>
      </c>
      <c r="M172" s="42">
        <v>51244705</v>
      </c>
      <c r="N172" s="46">
        <f t="shared" si="62"/>
        <v>127271710</v>
      </c>
      <c r="O172" s="47">
        <v>416510623</v>
      </c>
      <c r="P172" s="48">
        <v>46349617</v>
      </c>
      <c r="Q172" s="42">
        <v>10851767</v>
      </c>
      <c r="R172" s="42">
        <v>4010019</v>
      </c>
      <c r="S172" s="42">
        <v>98264815</v>
      </c>
      <c r="T172" s="42">
        <v>136495763</v>
      </c>
      <c r="U172" s="43">
        <f t="shared" si="63"/>
        <v>295971981</v>
      </c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</row>
    <row r="173" spans="1:98" s="22" customFormat="1" ht="18" customHeight="1" thickTop="1" thickBot="1" x14ac:dyDescent="0.35">
      <c r="A173" s="18">
        <v>2012</v>
      </c>
      <c r="B173" s="19" t="s">
        <v>14</v>
      </c>
      <c r="C173" s="49">
        <f t="shared" ref="C173:U173" si="64">SUM(C161:C172)</f>
        <v>40503732996</v>
      </c>
      <c r="D173" s="50">
        <f t="shared" si="64"/>
        <v>1504788862</v>
      </c>
      <c r="E173" s="51">
        <f t="shared" si="64"/>
        <v>3591570092</v>
      </c>
      <c r="F173" s="52">
        <f t="shared" si="64"/>
        <v>248205029</v>
      </c>
      <c r="G173" s="50">
        <f t="shared" si="64"/>
        <v>9038811</v>
      </c>
      <c r="H173" s="52">
        <f t="shared" si="64"/>
        <v>21806574</v>
      </c>
      <c r="I173" s="53">
        <f t="shared" si="64"/>
        <v>116430774</v>
      </c>
      <c r="J173" s="50">
        <f t="shared" si="64"/>
        <v>111582945</v>
      </c>
      <c r="K173" s="52">
        <f t="shared" si="64"/>
        <v>84277523</v>
      </c>
      <c r="L173" s="50">
        <f t="shared" si="64"/>
        <v>606656511</v>
      </c>
      <c r="M173" s="50">
        <f t="shared" si="64"/>
        <v>585841109</v>
      </c>
      <c r="N173" s="54">
        <f t="shared" si="64"/>
        <v>1504788862</v>
      </c>
      <c r="O173" s="55">
        <f t="shared" si="64"/>
        <v>4954369363</v>
      </c>
      <c r="P173" s="56">
        <f t="shared" si="64"/>
        <v>550910228</v>
      </c>
      <c r="Q173" s="50">
        <f t="shared" si="64"/>
        <v>141501769</v>
      </c>
      <c r="R173" s="50">
        <f t="shared" si="64"/>
        <v>84626896</v>
      </c>
      <c r="S173" s="50">
        <f t="shared" si="64"/>
        <v>1186640196</v>
      </c>
      <c r="T173" s="50">
        <f t="shared" si="64"/>
        <v>1627891003</v>
      </c>
      <c r="U173" s="51">
        <f t="shared" si="64"/>
        <v>3591570092</v>
      </c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</row>
    <row r="174" spans="1:98" ht="18" customHeight="1" thickTop="1" x14ac:dyDescent="0.3">
      <c r="A174" s="11">
        <v>2013</v>
      </c>
      <c r="B174" s="12" t="s">
        <v>2</v>
      </c>
      <c r="C174" s="25">
        <v>3321974145</v>
      </c>
      <c r="D174" s="26">
        <f t="shared" ref="D174:D185" si="65">+N174</f>
        <v>128607476</v>
      </c>
      <c r="E174" s="27">
        <f t="shared" ref="E174:E185" si="66">+U174</f>
        <v>297103307</v>
      </c>
      <c r="F174" s="28">
        <v>20663595</v>
      </c>
      <c r="G174" s="26">
        <v>760372</v>
      </c>
      <c r="H174" s="28">
        <v>1830212</v>
      </c>
      <c r="I174" s="29">
        <v>10103911</v>
      </c>
      <c r="J174" s="26">
        <v>8372810</v>
      </c>
      <c r="K174" s="28">
        <v>3702762</v>
      </c>
      <c r="L174" s="26">
        <v>56234473</v>
      </c>
      <c r="M174" s="26">
        <v>50193520</v>
      </c>
      <c r="N174" s="30">
        <f t="shared" ref="N174:N185" si="67">SUM(I174:M174)</f>
        <v>128607476</v>
      </c>
      <c r="O174" s="31">
        <v>432770233</v>
      </c>
      <c r="P174" s="32">
        <v>48170000</v>
      </c>
      <c r="Q174" s="26">
        <v>11532409</v>
      </c>
      <c r="R174" s="26">
        <v>4743198</v>
      </c>
      <c r="S174" s="26">
        <v>97371470</v>
      </c>
      <c r="T174" s="26">
        <v>135286230</v>
      </c>
      <c r="U174" s="27">
        <f t="shared" ref="U174:U185" si="68">SUM(P174:T174)</f>
        <v>297103307</v>
      </c>
    </row>
    <row r="175" spans="1:98" ht="18" customHeight="1" x14ac:dyDescent="0.3">
      <c r="A175" s="11">
        <v>2013</v>
      </c>
      <c r="B175" s="12" t="s">
        <v>3</v>
      </c>
      <c r="C175" s="25">
        <v>3090633381</v>
      </c>
      <c r="D175" s="26">
        <f t="shared" si="65"/>
        <v>117409318</v>
      </c>
      <c r="E175" s="27">
        <f t="shared" si="66"/>
        <v>275503163</v>
      </c>
      <c r="F175" s="28">
        <v>18752804</v>
      </c>
      <c r="G175" s="26">
        <v>686787</v>
      </c>
      <c r="H175" s="28">
        <v>1653094</v>
      </c>
      <c r="I175" s="29">
        <v>8667024</v>
      </c>
      <c r="J175" s="26">
        <v>8694956</v>
      </c>
      <c r="K175" s="28">
        <v>5129240</v>
      </c>
      <c r="L175" s="26">
        <v>49506920</v>
      </c>
      <c r="M175" s="26">
        <v>45411178</v>
      </c>
      <c r="N175" s="30">
        <f t="shared" si="67"/>
        <v>117409318</v>
      </c>
      <c r="O175" s="31">
        <v>376410698</v>
      </c>
      <c r="P175" s="32">
        <v>41905530</v>
      </c>
      <c r="Q175" s="26">
        <v>10677147</v>
      </c>
      <c r="R175" s="26">
        <v>6070537</v>
      </c>
      <c r="S175" s="26">
        <v>92971475</v>
      </c>
      <c r="T175" s="26">
        <v>123878474</v>
      </c>
      <c r="U175" s="27">
        <f t="shared" si="68"/>
        <v>275503163</v>
      </c>
    </row>
    <row r="176" spans="1:98" ht="18" customHeight="1" x14ac:dyDescent="0.3">
      <c r="A176" s="11">
        <v>2013</v>
      </c>
      <c r="B176" s="12" t="s">
        <v>4</v>
      </c>
      <c r="C176" s="25">
        <v>3522624070</v>
      </c>
      <c r="D176" s="26">
        <f t="shared" si="65"/>
        <v>131146888</v>
      </c>
      <c r="E176" s="27">
        <f t="shared" si="66"/>
        <v>312909251</v>
      </c>
      <c r="F176" s="28">
        <v>20835636</v>
      </c>
      <c r="G176" s="26">
        <v>760372</v>
      </c>
      <c r="H176" s="28">
        <v>1830212</v>
      </c>
      <c r="I176" s="29">
        <v>9285031</v>
      </c>
      <c r="J176" s="26">
        <v>9775098</v>
      </c>
      <c r="K176" s="28">
        <v>7203255</v>
      </c>
      <c r="L176" s="26">
        <v>54949007</v>
      </c>
      <c r="M176" s="26">
        <v>49934497</v>
      </c>
      <c r="N176" s="30">
        <f t="shared" si="67"/>
        <v>131146888</v>
      </c>
      <c r="O176" s="31">
        <v>402217804</v>
      </c>
      <c r="P176" s="32">
        <v>44769549</v>
      </c>
      <c r="Q176" s="26">
        <v>11701906</v>
      </c>
      <c r="R176" s="26">
        <v>7051566</v>
      </c>
      <c r="S176" s="26">
        <v>110053819</v>
      </c>
      <c r="T176" s="26">
        <v>139332411</v>
      </c>
      <c r="U176" s="27">
        <f t="shared" si="68"/>
        <v>312909251</v>
      </c>
    </row>
    <row r="177" spans="1:98" ht="18" customHeight="1" x14ac:dyDescent="0.3">
      <c r="A177" s="11">
        <v>2013</v>
      </c>
      <c r="B177" s="12" t="s">
        <v>5</v>
      </c>
      <c r="C177" s="25">
        <v>3471759253</v>
      </c>
      <c r="D177" s="26">
        <f t="shared" si="65"/>
        <v>127589111</v>
      </c>
      <c r="E177" s="27">
        <f t="shared" si="66"/>
        <v>308235130</v>
      </c>
      <c r="F177" s="28">
        <v>20198632</v>
      </c>
      <c r="G177" s="26">
        <v>735844</v>
      </c>
      <c r="H177" s="28">
        <v>1771173</v>
      </c>
      <c r="I177" s="29">
        <v>9335676</v>
      </c>
      <c r="J177" s="26">
        <v>10085572</v>
      </c>
      <c r="K177" s="28">
        <v>8096261</v>
      </c>
      <c r="L177" s="26">
        <v>51164497</v>
      </c>
      <c r="M177" s="26">
        <v>48907105</v>
      </c>
      <c r="N177" s="30">
        <f t="shared" si="67"/>
        <v>127589111</v>
      </c>
      <c r="O177" s="31">
        <v>406375878</v>
      </c>
      <c r="P177" s="32">
        <v>45171835</v>
      </c>
      <c r="Q177" s="26">
        <v>11177956</v>
      </c>
      <c r="R177" s="26">
        <v>7857730</v>
      </c>
      <c r="S177" s="26">
        <v>105664456</v>
      </c>
      <c r="T177" s="26">
        <v>138363153</v>
      </c>
      <c r="U177" s="27">
        <f t="shared" si="68"/>
        <v>308235130</v>
      </c>
    </row>
    <row r="178" spans="1:98" ht="18" customHeight="1" x14ac:dyDescent="0.3">
      <c r="A178" s="11">
        <v>2013</v>
      </c>
      <c r="B178" s="12" t="s">
        <v>6</v>
      </c>
      <c r="C178" s="25">
        <v>3567794880</v>
      </c>
      <c r="D178" s="26">
        <f t="shared" si="65"/>
        <v>129456525</v>
      </c>
      <c r="E178" s="27">
        <f t="shared" si="66"/>
        <v>316026573</v>
      </c>
      <c r="F178" s="28">
        <v>20896702</v>
      </c>
      <c r="G178" s="26">
        <v>760372</v>
      </c>
      <c r="H178" s="28">
        <v>1830212</v>
      </c>
      <c r="I178" s="29">
        <v>9516920</v>
      </c>
      <c r="J178" s="26">
        <v>10843152</v>
      </c>
      <c r="K178" s="28">
        <v>8096762</v>
      </c>
      <c r="L178" s="26">
        <v>50894240</v>
      </c>
      <c r="M178" s="26">
        <v>50105451</v>
      </c>
      <c r="N178" s="30">
        <f t="shared" si="67"/>
        <v>129456525</v>
      </c>
      <c r="O178" s="31">
        <v>413810198</v>
      </c>
      <c r="P178" s="32">
        <v>45994922</v>
      </c>
      <c r="Q178" s="26">
        <v>11886935</v>
      </c>
      <c r="R178" s="26">
        <v>8474279</v>
      </c>
      <c r="S178" s="26">
        <v>106710207</v>
      </c>
      <c r="T178" s="26">
        <v>142960230</v>
      </c>
      <c r="U178" s="27">
        <f t="shared" si="68"/>
        <v>316026573</v>
      </c>
    </row>
    <row r="179" spans="1:98" ht="18" customHeight="1" x14ac:dyDescent="0.3">
      <c r="A179" s="11">
        <v>2013</v>
      </c>
      <c r="B179" s="12" t="s">
        <v>7</v>
      </c>
      <c r="C179" s="25">
        <v>3345239288</v>
      </c>
      <c r="D179" s="26">
        <f t="shared" si="65"/>
        <v>121120679</v>
      </c>
      <c r="E179" s="27">
        <f t="shared" si="66"/>
        <v>295191771</v>
      </c>
      <c r="F179" s="28">
        <v>20291493</v>
      </c>
      <c r="G179" s="26">
        <v>735844</v>
      </c>
      <c r="H179" s="28">
        <v>1771173</v>
      </c>
      <c r="I179" s="29">
        <v>8787058</v>
      </c>
      <c r="J179" s="26">
        <v>7727753</v>
      </c>
      <c r="K179" s="28">
        <v>7761513</v>
      </c>
      <c r="L179" s="26">
        <v>48417658</v>
      </c>
      <c r="M179" s="26">
        <v>48426697</v>
      </c>
      <c r="N179" s="30">
        <f t="shared" si="67"/>
        <v>121120679</v>
      </c>
      <c r="O179" s="31">
        <v>356300845</v>
      </c>
      <c r="P179" s="32">
        <v>39564643</v>
      </c>
      <c r="Q179" s="26">
        <v>11413390</v>
      </c>
      <c r="R179" s="26">
        <v>7843050</v>
      </c>
      <c r="S179" s="26">
        <v>100417008</v>
      </c>
      <c r="T179" s="26">
        <v>135953680</v>
      </c>
      <c r="U179" s="27">
        <f t="shared" si="68"/>
        <v>295191771</v>
      </c>
    </row>
    <row r="180" spans="1:98" ht="18" customHeight="1" x14ac:dyDescent="0.3">
      <c r="A180" s="11">
        <v>2013</v>
      </c>
      <c r="B180" s="12" t="s">
        <v>8</v>
      </c>
      <c r="C180" s="25">
        <v>3232790652</v>
      </c>
      <c r="D180" s="26">
        <f t="shared" si="65"/>
        <v>116624417</v>
      </c>
      <c r="E180" s="27">
        <f t="shared" si="66"/>
        <v>283871139</v>
      </c>
      <c r="F180" s="28">
        <v>21030211</v>
      </c>
      <c r="G180" s="26">
        <v>760372</v>
      </c>
      <c r="H180" s="28">
        <v>1830212</v>
      </c>
      <c r="I180" s="29">
        <v>9798386</v>
      </c>
      <c r="J180" s="26">
        <v>7945054</v>
      </c>
      <c r="K180" s="28">
        <v>7834025</v>
      </c>
      <c r="L180" s="26">
        <v>43456424</v>
      </c>
      <c r="M180" s="26">
        <v>47590528</v>
      </c>
      <c r="N180" s="30">
        <f t="shared" si="67"/>
        <v>116624417</v>
      </c>
      <c r="O180" s="31">
        <v>389703256</v>
      </c>
      <c r="P180" s="32">
        <v>43121030</v>
      </c>
      <c r="Q180" s="26">
        <v>11409173</v>
      </c>
      <c r="R180" s="26">
        <v>7971725</v>
      </c>
      <c r="S180" s="26">
        <v>87246237</v>
      </c>
      <c r="T180" s="26">
        <v>134122974</v>
      </c>
      <c r="U180" s="27">
        <f t="shared" si="68"/>
        <v>283871139</v>
      </c>
    </row>
    <row r="181" spans="1:98" ht="18" customHeight="1" x14ac:dyDescent="0.3">
      <c r="A181" s="11">
        <v>2013</v>
      </c>
      <c r="B181" s="12" t="s">
        <v>9</v>
      </c>
      <c r="C181" s="25">
        <v>3273269387</v>
      </c>
      <c r="D181" s="26">
        <f t="shared" si="65"/>
        <v>118939253</v>
      </c>
      <c r="E181" s="27">
        <f t="shared" si="66"/>
        <v>289536751</v>
      </c>
      <c r="F181" s="28">
        <v>20903599</v>
      </c>
      <c r="G181" s="26">
        <v>760372</v>
      </c>
      <c r="H181" s="28">
        <v>1830212</v>
      </c>
      <c r="I181" s="29">
        <v>9762576</v>
      </c>
      <c r="J181" s="26">
        <v>8428309</v>
      </c>
      <c r="K181" s="28">
        <v>7241216</v>
      </c>
      <c r="L181" s="26">
        <v>45440342</v>
      </c>
      <c r="M181" s="26">
        <v>48066810</v>
      </c>
      <c r="N181" s="30">
        <f t="shared" si="67"/>
        <v>118939253</v>
      </c>
      <c r="O181" s="31">
        <v>409380612</v>
      </c>
      <c r="P181" s="32">
        <v>45321254</v>
      </c>
      <c r="Q181" s="26">
        <v>13748648</v>
      </c>
      <c r="R181" s="26">
        <v>7287158</v>
      </c>
      <c r="S181" s="26">
        <v>88730164</v>
      </c>
      <c r="T181" s="26">
        <v>134449527</v>
      </c>
      <c r="U181" s="27">
        <f t="shared" si="68"/>
        <v>289536751</v>
      </c>
    </row>
    <row r="182" spans="1:98" ht="18" customHeight="1" x14ac:dyDescent="0.3">
      <c r="A182" s="11">
        <v>2013</v>
      </c>
      <c r="B182" s="12" t="s">
        <v>10</v>
      </c>
      <c r="C182" s="25">
        <v>3078337153</v>
      </c>
      <c r="D182" s="26">
        <f t="shared" si="65"/>
        <v>113702204</v>
      </c>
      <c r="E182" s="27">
        <f t="shared" si="66"/>
        <v>273409393</v>
      </c>
      <c r="F182" s="28">
        <v>20177543</v>
      </c>
      <c r="G182" s="26">
        <v>733656</v>
      </c>
      <c r="H182" s="28">
        <v>1771124</v>
      </c>
      <c r="I182" s="29">
        <v>9532800</v>
      </c>
      <c r="J182" s="26">
        <v>8164808</v>
      </c>
      <c r="K182" s="28">
        <v>6495102</v>
      </c>
      <c r="L182" s="26">
        <v>42541462</v>
      </c>
      <c r="M182" s="26">
        <v>46968032</v>
      </c>
      <c r="N182" s="30">
        <f t="shared" si="67"/>
        <v>113702204</v>
      </c>
      <c r="O182" s="31">
        <v>410321530</v>
      </c>
      <c r="P182" s="32">
        <v>45691861</v>
      </c>
      <c r="Q182" s="26">
        <v>11607820</v>
      </c>
      <c r="R182" s="26">
        <v>6645255</v>
      </c>
      <c r="S182" s="26">
        <v>79927600</v>
      </c>
      <c r="T182" s="26">
        <v>129536857</v>
      </c>
      <c r="U182" s="27">
        <f t="shared" si="68"/>
        <v>273409393</v>
      </c>
    </row>
    <row r="183" spans="1:98" ht="18" customHeight="1" x14ac:dyDescent="0.3">
      <c r="A183" s="11">
        <v>2013</v>
      </c>
      <c r="B183" s="12" t="s">
        <v>11</v>
      </c>
      <c r="C183" s="25">
        <v>3212104898</v>
      </c>
      <c r="D183" s="26">
        <f t="shared" si="65"/>
        <v>122269124</v>
      </c>
      <c r="E183" s="27">
        <f t="shared" si="66"/>
        <v>288731547</v>
      </c>
      <c r="F183" s="28">
        <v>20595674</v>
      </c>
      <c r="G183" s="26">
        <v>760372</v>
      </c>
      <c r="H183" s="28">
        <v>1830212</v>
      </c>
      <c r="I183" s="29">
        <v>10220848</v>
      </c>
      <c r="J183" s="26">
        <v>11421637</v>
      </c>
      <c r="K183" s="28">
        <v>6416030</v>
      </c>
      <c r="L183" s="26">
        <v>44438746</v>
      </c>
      <c r="M183" s="26">
        <v>49771863</v>
      </c>
      <c r="N183" s="30">
        <f t="shared" si="67"/>
        <v>122269124</v>
      </c>
      <c r="O183" s="31">
        <v>438112507</v>
      </c>
      <c r="P183" s="32">
        <v>48983130</v>
      </c>
      <c r="Q183" s="26">
        <v>11965114</v>
      </c>
      <c r="R183" s="26">
        <v>6647889</v>
      </c>
      <c r="S183" s="26">
        <v>86307020</v>
      </c>
      <c r="T183" s="26">
        <v>134828394</v>
      </c>
      <c r="U183" s="27">
        <f t="shared" si="68"/>
        <v>288731547</v>
      </c>
    </row>
    <row r="184" spans="1:98" ht="18" customHeight="1" x14ac:dyDescent="0.3">
      <c r="A184" s="11">
        <v>2013</v>
      </c>
      <c r="B184" s="12" t="s">
        <v>12</v>
      </c>
      <c r="C184" s="25">
        <v>3160081007</v>
      </c>
      <c r="D184" s="26">
        <f t="shared" si="65"/>
        <v>120698015</v>
      </c>
      <c r="E184" s="27">
        <f t="shared" si="66"/>
        <v>285192856</v>
      </c>
      <c r="F184" s="28">
        <v>18550064</v>
      </c>
      <c r="G184" s="26">
        <v>693840</v>
      </c>
      <c r="H184" s="28">
        <v>1654347</v>
      </c>
      <c r="I184" s="29">
        <v>9654190</v>
      </c>
      <c r="J184" s="26">
        <v>11835684</v>
      </c>
      <c r="K184" s="28">
        <v>5018873</v>
      </c>
      <c r="L184" s="26">
        <v>44786078</v>
      </c>
      <c r="M184" s="26">
        <v>49403190</v>
      </c>
      <c r="N184" s="30">
        <f t="shared" si="67"/>
        <v>120698015</v>
      </c>
      <c r="O184" s="31">
        <v>401652848</v>
      </c>
      <c r="P184" s="32">
        <v>45014342</v>
      </c>
      <c r="Q184" s="26">
        <v>11385805</v>
      </c>
      <c r="R184" s="26">
        <v>8711550</v>
      </c>
      <c r="S184" s="26">
        <v>87338937</v>
      </c>
      <c r="T184" s="26">
        <v>132742222</v>
      </c>
      <c r="U184" s="27">
        <f t="shared" si="68"/>
        <v>285192856</v>
      </c>
    </row>
    <row r="185" spans="1:98" s="6" customFormat="1" ht="18" customHeight="1" thickBot="1" x14ac:dyDescent="0.35">
      <c r="A185" s="11">
        <v>2013</v>
      </c>
      <c r="B185" s="12" t="s">
        <v>13</v>
      </c>
      <c r="C185" s="25">
        <v>3347317449</v>
      </c>
      <c r="D185" s="26">
        <f t="shared" si="65"/>
        <v>128895464</v>
      </c>
      <c r="E185" s="27">
        <f t="shared" si="66"/>
        <v>302083353</v>
      </c>
      <c r="F185" s="28">
        <v>20452757</v>
      </c>
      <c r="G185" s="26">
        <v>760372</v>
      </c>
      <c r="H185" s="28">
        <v>1830212</v>
      </c>
      <c r="I185" s="29">
        <v>10317480</v>
      </c>
      <c r="J185" s="26">
        <v>11405836</v>
      </c>
      <c r="K185" s="28">
        <v>3849477</v>
      </c>
      <c r="L185" s="26">
        <v>50065834</v>
      </c>
      <c r="M185" s="26">
        <v>53256837</v>
      </c>
      <c r="N185" s="30">
        <f t="shared" si="67"/>
        <v>128895464</v>
      </c>
      <c r="O185" s="31">
        <v>421030241</v>
      </c>
      <c r="P185" s="32">
        <v>47011710</v>
      </c>
      <c r="Q185" s="26">
        <v>11397006</v>
      </c>
      <c r="R185" s="26">
        <v>3836980</v>
      </c>
      <c r="S185" s="26">
        <v>98444400</v>
      </c>
      <c r="T185" s="26">
        <v>141393257</v>
      </c>
      <c r="U185" s="27">
        <f t="shared" si="68"/>
        <v>302083353</v>
      </c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</row>
    <row r="186" spans="1:98" s="22" customFormat="1" ht="18" customHeight="1" thickTop="1" thickBot="1" x14ac:dyDescent="0.35">
      <c r="A186" s="20">
        <v>2013</v>
      </c>
      <c r="B186" s="21" t="s">
        <v>14</v>
      </c>
      <c r="C186" s="33">
        <f t="shared" ref="C186:U186" si="69">SUM(C174:C185)</f>
        <v>39623925563</v>
      </c>
      <c r="D186" s="34">
        <f t="shared" si="69"/>
        <v>1476458474</v>
      </c>
      <c r="E186" s="35">
        <f t="shared" si="69"/>
        <v>3527794234</v>
      </c>
      <c r="F186" s="36">
        <f t="shared" si="69"/>
        <v>243348710</v>
      </c>
      <c r="G186" s="34">
        <f t="shared" si="69"/>
        <v>8908575</v>
      </c>
      <c r="H186" s="36">
        <f t="shared" si="69"/>
        <v>21432395</v>
      </c>
      <c r="I186" s="37">
        <f t="shared" si="69"/>
        <v>114981900</v>
      </c>
      <c r="J186" s="34">
        <f t="shared" si="69"/>
        <v>114700669</v>
      </c>
      <c r="K186" s="36">
        <f t="shared" si="69"/>
        <v>76844516</v>
      </c>
      <c r="L186" s="34">
        <f t="shared" si="69"/>
        <v>581895681</v>
      </c>
      <c r="M186" s="34">
        <f t="shared" si="69"/>
        <v>588035708</v>
      </c>
      <c r="N186" s="38">
        <f t="shared" si="69"/>
        <v>1476458474</v>
      </c>
      <c r="O186" s="39">
        <f t="shared" si="69"/>
        <v>4858086650</v>
      </c>
      <c r="P186" s="40">
        <f t="shared" si="69"/>
        <v>540719806</v>
      </c>
      <c r="Q186" s="34">
        <f t="shared" si="69"/>
        <v>139903309</v>
      </c>
      <c r="R186" s="34">
        <f t="shared" si="69"/>
        <v>83140917</v>
      </c>
      <c r="S186" s="34">
        <f t="shared" si="69"/>
        <v>1141182793</v>
      </c>
      <c r="T186" s="34">
        <f t="shared" si="69"/>
        <v>1622847409</v>
      </c>
      <c r="U186" s="35">
        <f t="shared" si="69"/>
        <v>3527794234</v>
      </c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</row>
    <row r="187" spans="1:98" ht="18" customHeight="1" thickTop="1" x14ac:dyDescent="0.3">
      <c r="A187" s="11">
        <v>2014</v>
      </c>
      <c r="B187" s="12" t="s">
        <v>2</v>
      </c>
      <c r="C187" s="25">
        <v>3535682079</v>
      </c>
      <c r="D187" s="26">
        <f t="shared" ref="D187:D198" si="70">+N187</f>
        <v>134356902</v>
      </c>
      <c r="E187" s="27">
        <f t="shared" ref="E187:E198" si="71">+U187</f>
        <v>317199487</v>
      </c>
      <c r="F187" s="28">
        <v>20579773</v>
      </c>
      <c r="G187" s="26">
        <v>759357</v>
      </c>
      <c r="H187" s="28">
        <v>1830212</v>
      </c>
      <c r="I187" s="29">
        <v>9902718</v>
      </c>
      <c r="J187" s="26">
        <v>9385872</v>
      </c>
      <c r="K187" s="28">
        <v>6725644</v>
      </c>
      <c r="L187" s="26">
        <v>52484810</v>
      </c>
      <c r="M187" s="26">
        <v>55857858</v>
      </c>
      <c r="N187" s="30">
        <f t="shared" ref="N187:N198" si="72">SUM(I187:M187)</f>
        <v>134356902</v>
      </c>
      <c r="O187" s="31">
        <v>416024965</v>
      </c>
      <c r="P187" s="32">
        <v>46327618</v>
      </c>
      <c r="Q187" s="26">
        <v>11375326</v>
      </c>
      <c r="R187" s="26">
        <v>6913815</v>
      </c>
      <c r="S187" s="26">
        <v>104917070</v>
      </c>
      <c r="T187" s="26">
        <v>147665658</v>
      </c>
      <c r="U187" s="27">
        <f t="shared" ref="U187:U198" si="73">SUM(P187:T187)</f>
        <v>317199487</v>
      </c>
    </row>
    <row r="188" spans="1:98" ht="18" customHeight="1" x14ac:dyDescent="0.3">
      <c r="A188" s="11">
        <v>2014</v>
      </c>
      <c r="B188" s="12" t="s">
        <v>3</v>
      </c>
      <c r="C188" s="25">
        <v>3305002929</v>
      </c>
      <c r="D188" s="26">
        <f t="shared" si="70"/>
        <v>123367279</v>
      </c>
      <c r="E188" s="27">
        <f t="shared" si="71"/>
        <v>295312760</v>
      </c>
      <c r="F188" s="28">
        <v>18615292</v>
      </c>
      <c r="G188" s="26">
        <v>686787</v>
      </c>
      <c r="H188" s="28">
        <v>1653094</v>
      </c>
      <c r="I188" s="29">
        <v>8986053</v>
      </c>
      <c r="J188" s="26">
        <v>9042609</v>
      </c>
      <c r="K188" s="28">
        <v>6527366</v>
      </c>
      <c r="L188" s="26">
        <v>50591408</v>
      </c>
      <c r="M188" s="26">
        <v>48219843</v>
      </c>
      <c r="N188" s="30">
        <f t="shared" si="72"/>
        <v>123367279</v>
      </c>
      <c r="O188" s="31">
        <v>378969579</v>
      </c>
      <c r="P188" s="32">
        <v>42257475</v>
      </c>
      <c r="Q188" s="26">
        <v>11176841</v>
      </c>
      <c r="R188" s="26">
        <v>7014371</v>
      </c>
      <c r="S188" s="26">
        <v>98518901</v>
      </c>
      <c r="T188" s="26">
        <v>136345172</v>
      </c>
      <c r="U188" s="27">
        <f t="shared" si="73"/>
        <v>295312760</v>
      </c>
    </row>
    <row r="189" spans="1:98" ht="18" customHeight="1" x14ac:dyDescent="0.3">
      <c r="A189" s="11">
        <v>2014</v>
      </c>
      <c r="B189" s="12" t="s">
        <v>4</v>
      </c>
      <c r="C189" s="25">
        <v>3706096117</v>
      </c>
      <c r="D189" s="26">
        <f t="shared" si="70"/>
        <v>137064040</v>
      </c>
      <c r="E189" s="27">
        <f t="shared" si="71"/>
        <v>330718554</v>
      </c>
      <c r="F189" s="28">
        <v>20627660</v>
      </c>
      <c r="G189" s="26">
        <v>760372</v>
      </c>
      <c r="H189" s="28">
        <v>1830212</v>
      </c>
      <c r="I189" s="29">
        <v>9860425</v>
      </c>
      <c r="J189" s="26">
        <v>10782136</v>
      </c>
      <c r="K189" s="28">
        <v>8438556</v>
      </c>
      <c r="L189" s="26">
        <v>52657050</v>
      </c>
      <c r="M189" s="26">
        <v>55325873</v>
      </c>
      <c r="N189" s="30">
        <f t="shared" si="72"/>
        <v>137064040</v>
      </c>
      <c r="O189" s="31">
        <v>407084308</v>
      </c>
      <c r="P189" s="32">
        <v>45253028</v>
      </c>
      <c r="Q189" s="26">
        <v>13190212</v>
      </c>
      <c r="R189" s="26">
        <v>7909111</v>
      </c>
      <c r="S189" s="26">
        <v>112566012</v>
      </c>
      <c r="T189" s="26">
        <v>151800191</v>
      </c>
      <c r="U189" s="27">
        <f t="shared" si="73"/>
        <v>330718554</v>
      </c>
    </row>
    <row r="190" spans="1:98" ht="18" customHeight="1" x14ac:dyDescent="0.3">
      <c r="A190" s="11">
        <v>2014</v>
      </c>
      <c r="B190" s="12" t="s">
        <v>5</v>
      </c>
      <c r="C190" s="25">
        <v>3577429783</v>
      </c>
      <c r="D190" s="26">
        <f t="shared" si="70"/>
        <v>130829410</v>
      </c>
      <c r="E190" s="27">
        <f t="shared" si="71"/>
        <v>318726810</v>
      </c>
      <c r="F190" s="28">
        <v>20028865</v>
      </c>
      <c r="G190" s="26">
        <v>735844</v>
      </c>
      <c r="H190" s="28">
        <v>1771173</v>
      </c>
      <c r="I190" s="29">
        <v>9902220</v>
      </c>
      <c r="J190" s="26">
        <v>10123882</v>
      </c>
      <c r="K190" s="28">
        <v>7849366</v>
      </c>
      <c r="L190" s="26">
        <v>49574239</v>
      </c>
      <c r="M190" s="26">
        <v>53379703</v>
      </c>
      <c r="N190" s="30">
        <f t="shared" si="72"/>
        <v>130829410</v>
      </c>
      <c r="O190" s="31">
        <v>401898606</v>
      </c>
      <c r="P190" s="32">
        <v>44611676</v>
      </c>
      <c r="Q190" s="26">
        <v>11782884</v>
      </c>
      <c r="R190" s="26">
        <v>7832349</v>
      </c>
      <c r="S190" s="26">
        <v>107996503</v>
      </c>
      <c r="T190" s="26">
        <v>146503398</v>
      </c>
      <c r="U190" s="27">
        <f t="shared" si="73"/>
        <v>318726810</v>
      </c>
    </row>
    <row r="191" spans="1:98" ht="18" customHeight="1" x14ac:dyDescent="0.3">
      <c r="A191" s="11">
        <v>2014</v>
      </c>
      <c r="B191" s="12" t="s">
        <v>6</v>
      </c>
      <c r="C191" s="25">
        <v>3633943274</v>
      </c>
      <c r="D191" s="26">
        <f t="shared" si="70"/>
        <v>131555993</v>
      </c>
      <c r="E191" s="27">
        <f t="shared" si="71"/>
        <v>323112437</v>
      </c>
      <c r="F191" s="28">
        <v>20764254</v>
      </c>
      <c r="G191" s="26">
        <v>760372</v>
      </c>
      <c r="H191" s="28">
        <v>1830212</v>
      </c>
      <c r="I191" s="29">
        <v>9968323</v>
      </c>
      <c r="J191" s="26">
        <v>10183120</v>
      </c>
      <c r="K191" s="28">
        <v>8495541</v>
      </c>
      <c r="L191" s="26">
        <v>48595881</v>
      </c>
      <c r="M191" s="26">
        <v>54313128</v>
      </c>
      <c r="N191" s="30">
        <f t="shared" si="72"/>
        <v>131555993</v>
      </c>
      <c r="O191" s="31">
        <v>404628267</v>
      </c>
      <c r="P191" s="32">
        <v>44968771</v>
      </c>
      <c r="Q191" s="26">
        <v>11229167</v>
      </c>
      <c r="R191" s="26">
        <v>7492448</v>
      </c>
      <c r="S191" s="26">
        <v>111416956</v>
      </c>
      <c r="T191" s="26">
        <v>148005095</v>
      </c>
      <c r="U191" s="27">
        <f t="shared" si="73"/>
        <v>323112437</v>
      </c>
    </row>
    <row r="192" spans="1:98" ht="18" customHeight="1" x14ac:dyDescent="0.3">
      <c r="A192" s="11">
        <v>2014</v>
      </c>
      <c r="B192" s="12" t="s">
        <v>7</v>
      </c>
      <c r="C192" s="25">
        <v>3435240467</v>
      </c>
      <c r="D192" s="26">
        <f t="shared" si="70"/>
        <v>123199865</v>
      </c>
      <c r="E192" s="27">
        <f t="shared" si="71"/>
        <v>305001841</v>
      </c>
      <c r="F192" s="28">
        <v>20155495</v>
      </c>
      <c r="G192" s="26">
        <v>732729</v>
      </c>
      <c r="H192" s="28">
        <v>1771173</v>
      </c>
      <c r="I192" s="29">
        <v>9858986</v>
      </c>
      <c r="J192" s="26">
        <v>10475205</v>
      </c>
      <c r="K192" s="28">
        <v>9260771</v>
      </c>
      <c r="L192" s="26">
        <v>41972334</v>
      </c>
      <c r="M192" s="26">
        <v>51632569</v>
      </c>
      <c r="N192" s="30">
        <f t="shared" si="72"/>
        <v>123199865</v>
      </c>
      <c r="O192" s="31">
        <v>384392694</v>
      </c>
      <c r="P192" s="32">
        <v>42442827</v>
      </c>
      <c r="Q192" s="26">
        <v>12276538</v>
      </c>
      <c r="R192" s="26">
        <v>8462896</v>
      </c>
      <c r="S192" s="26">
        <v>100238262</v>
      </c>
      <c r="T192" s="26">
        <v>141581318</v>
      </c>
      <c r="U192" s="27">
        <f t="shared" si="73"/>
        <v>305001841</v>
      </c>
    </row>
    <row r="193" spans="1:98" ht="18" customHeight="1" x14ac:dyDescent="0.3">
      <c r="A193" s="11">
        <v>2014</v>
      </c>
      <c r="B193" s="12" t="s">
        <v>8</v>
      </c>
      <c r="C193" s="25">
        <v>3422354511</v>
      </c>
      <c r="D193" s="26">
        <f t="shared" si="70"/>
        <v>122808358</v>
      </c>
      <c r="E193" s="27">
        <f t="shared" si="71"/>
        <v>302553006</v>
      </c>
      <c r="F193" s="28">
        <v>20870462</v>
      </c>
      <c r="G193" s="26">
        <v>746815</v>
      </c>
      <c r="H193" s="28">
        <v>1829628</v>
      </c>
      <c r="I193" s="29">
        <v>10499213</v>
      </c>
      <c r="J193" s="26">
        <v>10781228</v>
      </c>
      <c r="K193" s="28">
        <v>11110857</v>
      </c>
      <c r="L193" s="26">
        <v>37885831</v>
      </c>
      <c r="M193" s="26">
        <v>52531229</v>
      </c>
      <c r="N193" s="30">
        <f t="shared" si="72"/>
        <v>122808358</v>
      </c>
      <c r="O193" s="31">
        <v>396997588</v>
      </c>
      <c r="P193" s="32">
        <v>43825130</v>
      </c>
      <c r="Q193" s="26">
        <v>11052764</v>
      </c>
      <c r="R193" s="26">
        <v>8275032</v>
      </c>
      <c r="S193" s="26">
        <v>95054159</v>
      </c>
      <c r="T193" s="26">
        <v>144345921</v>
      </c>
      <c r="U193" s="27">
        <f t="shared" si="73"/>
        <v>302553006</v>
      </c>
    </row>
    <row r="194" spans="1:98" ht="18" customHeight="1" x14ac:dyDescent="0.3">
      <c r="A194" s="11">
        <v>2014</v>
      </c>
      <c r="B194" s="12" t="s">
        <v>9</v>
      </c>
      <c r="C194" s="25">
        <v>3339084988</v>
      </c>
      <c r="D194" s="26">
        <f t="shared" si="70"/>
        <v>120468016</v>
      </c>
      <c r="E194" s="27">
        <f t="shared" si="71"/>
        <v>295981701</v>
      </c>
      <c r="F194" s="28">
        <v>20840932</v>
      </c>
      <c r="G194" s="26">
        <v>745642</v>
      </c>
      <c r="H194" s="28">
        <v>1830212</v>
      </c>
      <c r="I194" s="29">
        <v>10261834</v>
      </c>
      <c r="J194" s="26">
        <v>10395571</v>
      </c>
      <c r="K194" s="28">
        <v>8361542</v>
      </c>
      <c r="L194" s="26">
        <v>40127245</v>
      </c>
      <c r="M194" s="26">
        <v>51321824</v>
      </c>
      <c r="N194" s="30">
        <f t="shared" si="72"/>
        <v>120468016</v>
      </c>
      <c r="O194" s="31">
        <v>409664287</v>
      </c>
      <c r="P194" s="32">
        <v>45038892</v>
      </c>
      <c r="Q194" s="26">
        <v>11580462</v>
      </c>
      <c r="R194" s="26">
        <v>7062957</v>
      </c>
      <c r="S194" s="26">
        <v>89739406</v>
      </c>
      <c r="T194" s="26">
        <v>142559984</v>
      </c>
      <c r="U194" s="27">
        <f t="shared" si="73"/>
        <v>295981701</v>
      </c>
    </row>
    <row r="195" spans="1:98" ht="18" customHeight="1" x14ac:dyDescent="0.3">
      <c r="A195" s="11">
        <v>2014</v>
      </c>
      <c r="B195" s="12" t="s">
        <v>10</v>
      </c>
      <c r="C195" s="25">
        <v>3178833881</v>
      </c>
      <c r="D195" s="26">
        <f t="shared" si="70"/>
        <v>116385628</v>
      </c>
      <c r="E195" s="27">
        <f t="shared" si="71"/>
        <v>282076391</v>
      </c>
      <c r="F195" s="28">
        <v>20018088</v>
      </c>
      <c r="G195" s="26">
        <v>719827</v>
      </c>
      <c r="H195" s="28">
        <v>1759768</v>
      </c>
      <c r="I195" s="29">
        <v>9978101</v>
      </c>
      <c r="J195" s="26">
        <v>10598227</v>
      </c>
      <c r="K195" s="28">
        <v>8386969</v>
      </c>
      <c r="L195" s="26">
        <v>35740931</v>
      </c>
      <c r="M195" s="26">
        <v>51681400</v>
      </c>
      <c r="N195" s="30">
        <f t="shared" si="72"/>
        <v>116385628</v>
      </c>
      <c r="O195" s="31">
        <v>408336011</v>
      </c>
      <c r="P195" s="32">
        <v>45207144</v>
      </c>
      <c r="Q195" s="26">
        <v>11942516</v>
      </c>
      <c r="R195" s="26">
        <v>6677182</v>
      </c>
      <c r="S195" s="26">
        <v>78737599</v>
      </c>
      <c r="T195" s="26">
        <v>139511950</v>
      </c>
      <c r="U195" s="27">
        <f t="shared" si="73"/>
        <v>282076391</v>
      </c>
    </row>
    <row r="196" spans="1:98" ht="18" customHeight="1" x14ac:dyDescent="0.3">
      <c r="A196" s="11">
        <v>2014</v>
      </c>
      <c r="B196" s="12" t="s">
        <v>11</v>
      </c>
      <c r="C196" s="25">
        <v>3322831966</v>
      </c>
      <c r="D196" s="26">
        <f t="shared" si="70"/>
        <v>124101435</v>
      </c>
      <c r="E196" s="27">
        <f t="shared" si="71"/>
        <v>297763620</v>
      </c>
      <c r="F196" s="28">
        <v>20631787</v>
      </c>
      <c r="G196" s="26">
        <v>724811</v>
      </c>
      <c r="H196" s="28">
        <v>1830212</v>
      </c>
      <c r="I196" s="29">
        <v>10544596</v>
      </c>
      <c r="J196" s="26">
        <v>9205642</v>
      </c>
      <c r="K196" s="28">
        <v>6724031</v>
      </c>
      <c r="L196" s="26">
        <v>43811584</v>
      </c>
      <c r="M196" s="26">
        <v>53815582</v>
      </c>
      <c r="N196" s="30">
        <f t="shared" si="72"/>
        <v>124101435</v>
      </c>
      <c r="O196" s="31">
        <v>435688817</v>
      </c>
      <c r="P196" s="32">
        <v>48571383</v>
      </c>
      <c r="Q196" s="26">
        <v>11856380</v>
      </c>
      <c r="R196" s="26">
        <v>6564087</v>
      </c>
      <c r="S196" s="26">
        <v>84462383</v>
      </c>
      <c r="T196" s="26">
        <v>146309387</v>
      </c>
      <c r="U196" s="27">
        <f t="shared" si="73"/>
        <v>297763620</v>
      </c>
    </row>
    <row r="197" spans="1:98" ht="18" customHeight="1" x14ac:dyDescent="0.3">
      <c r="A197" s="11">
        <v>2014</v>
      </c>
      <c r="B197" s="12" t="s">
        <v>12</v>
      </c>
      <c r="C197" s="25">
        <v>3246258753</v>
      </c>
      <c r="D197" s="26">
        <f t="shared" si="70"/>
        <v>123206471</v>
      </c>
      <c r="E197" s="27">
        <f t="shared" si="71"/>
        <v>292455467</v>
      </c>
      <c r="F197" s="28">
        <v>19957164</v>
      </c>
      <c r="G197" s="26">
        <v>735844</v>
      </c>
      <c r="H197" s="28">
        <v>1771173</v>
      </c>
      <c r="I197" s="29">
        <v>9848106</v>
      </c>
      <c r="J197" s="26">
        <v>10196149</v>
      </c>
      <c r="K197" s="28">
        <v>5223241</v>
      </c>
      <c r="L197" s="26">
        <v>43954222</v>
      </c>
      <c r="M197" s="26">
        <v>53984753</v>
      </c>
      <c r="N197" s="30">
        <f t="shared" si="72"/>
        <v>123206471</v>
      </c>
      <c r="O197" s="31">
        <v>401511342</v>
      </c>
      <c r="P197" s="32">
        <v>44940081</v>
      </c>
      <c r="Q197" s="26">
        <v>11149211</v>
      </c>
      <c r="R197" s="26">
        <v>5718742</v>
      </c>
      <c r="S197" s="26">
        <v>88943968</v>
      </c>
      <c r="T197" s="26">
        <v>141703465</v>
      </c>
      <c r="U197" s="27">
        <f t="shared" si="73"/>
        <v>292455467</v>
      </c>
    </row>
    <row r="198" spans="1:98" s="6" customFormat="1" ht="18" customHeight="1" thickBot="1" x14ac:dyDescent="0.35">
      <c r="A198" s="13">
        <v>2014</v>
      </c>
      <c r="B198" s="7" t="s">
        <v>13</v>
      </c>
      <c r="C198" s="41">
        <v>3361867921</v>
      </c>
      <c r="D198" s="42">
        <f t="shared" si="70"/>
        <v>128159927</v>
      </c>
      <c r="E198" s="43">
        <f t="shared" si="71"/>
        <v>302372025</v>
      </c>
      <c r="F198" s="44">
        <v>20643279</v>
      </c>
      <c r="G198" s="42">
        <v>760372</v>
      </c>
      <c r="H198" s="44">
        <v>1830212</v>
      </c>
      <c r="I198" s="45">
        <v>10654452</v>
      </c>
      <c r="J198" s="42">
        <v>9809899</v>
      </c>
      <c r="K198" s="44">
        <v>4756247</v>
      </c>
      <c r="L198" s="42">
        <v>47491054</v>
      </c>
      <c r="M198" s="42">
        <v>55448275</v>
      </c>
      <c r="N198" s="46">
        <f t="shared" si="72"/>
        <v>128159927</v>
      </c>
      <c r="O198" s="47">
        <v>421871745</v>
      </c>
      <c r="P198" s="48">
        <v>47036884</v>
      </c>
      <c r="Q198" s="42">
        <v>11797277</v>
      </c>
      <c r="R198" s="42">
        <v>4301806</v>
      </c>
      <c r="S198" s="42">
        <v>91917620</v>
      </c>
      <c r="T198" s="42">
        <v>147318438</v>
      </c>
      <c r="U198" s="43">
        <f t="shared" si="73"/>
        <v>302372025</v>
      </c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</row>
    <row r="199" spans="1:98" s="22" customFormat="1" ht="18" customHeight="1" thickTop="1" thickBot="1" x14ac:dyDescent="0.35">
      <c r="A199" s="18">
        <v>2014</v>
      </c>
      <c r="B199" s="19" t="s">
        <v>14</v>
      </c>
      <c r="C199" s="49">
        <f t="shared" ref="C199:U199" si="74">SUM(C187:C198)</f>
        <v>41064626669</v>
      </c>
      <c r="D199" s="50">
        <f t="shared" si="74"/>
        <v>1515503324</v>
      </c>
      <c r="E199" s="51">
        <f t="shared" si="74"/>
        <v>3663274099</v>
      </c>
      <c r="F199" s="52">
        <f t="shared" si="74"/>
        <v>243733051</v>
      </c>
      <c r="G199" s="50">
        <f t="shared" si="74"/>
        <v>8868772</v>
      </c>
      <c r="H199" s="52">
        <f t="shared" si="74"/>
        <v>21537281</v>
      </c>
      <c r="I199" s="53">
        <f t="shared" si="74"/>
        <v>120265027</v>
      </c>
      <c r="J199" s="50">
        <f t="shared" si="74"/>
        <v>120979540</v>
      </c>
      <c r="K199" s="52">
        <f t="shared" si="74"/>
        <v>91860131</v>
      </c>
      <c r="L199" s="50">
        <f t="shared" si="74"/>
        <v>544886589</v>
      </c>
      <c r="M199" s="50">
        <f t="shared" si="74"/>
        <v>637512037</v>
      </c>
      <c r="N199" s="54">
        <f t="shared" si="74"/>
        <v>1515503324</v>
      </c>
      <c r="O199" s="55">
        <f t="shared" si="74"/>
        <v>4867068209</v>
      </c>
      <c r="P199" s="56">
        <f t="shared" si="74"/>
        <v>540480909</v>
      </c>
      <c r="Q199" s="50">
        <f t="shared" si="74"/>
        <v>140409578</v>
      </c>
      <c r="R199" s="50">
        <f t="shared" si="74"/>
        <v>84224796</v>
      </c>
      <c r="S199" s="50">
        <f t="shared" si="74"/>
        <v>1164508839</v>
      </c>
      <c r="T199" s="50">
        <f t="shared" si="74"/>
        <v>1733649977</v>
      </c>
      <c r="U199" s="51">
        <f t="shared" si="74"/>
        <v>3663274099</v>
      </c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</row>
    <row r="200" spans="1:98" s="17" customFormat="1" ht="21.75" customHeight="1" thickTop="1" x14ac:dyDescent="0.3">
      <c r="A200" s="478" t="s">
        <v>44</v>
      </c>
      <c r="B200" s="478"/>
      <c r="C200" s="478"/>
      <c r="D200" s="478"/>
      <c r="E200" s="478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</row>
    <row r="201" spans="1:98" ht="18" customHeight="1" x14ac:dyDescent="0.3">
      <c r="A201" s="24" t="s">
        <v>38</v>
      </c>
    </row>
    <row r="202" spans="1:98" ht="18" customHeight="1" x14ac:dyDescent="0.3">
      <c r="A202" s="386" t="s">
        <v>47</v>
      </c>
      <c r="B202" s="386"/>
      <c r="C202" s="386"/>
      <c r="D202" s="386"/>
      <c r="E202" s="386"/>
      <c r="F202" s="386"/>
      <c r="G202" s="386"/>
      <c r="H202" s="386"/>
      <c r="I202" s="386"/>
      <c r="J202" s="386"/>
      <c r="K202" s="386"/>
      <c r="L202" s="386"/>
      <c r="M202" s="386"/>
      <c r="N202" s="386"/>
      <c r="O202" s="386"/>
      <c r="P202" s="386"/>
      <c r="Q202" s="386"/>
    </row>
    <row r="203" spans="1:98" ht="18" customHeight="1" x14ac:dyDescent="0.3">
      <c r="A203" s="386" t="s">
        <v>46</v>
      </c>
      <c r="B203" s="386"/>
      <c r="C203" s="386"/>
      <c r="D203" s="386"/>
      <c r="E203" s="386"/>
      <c r="F203" s="386"/>
      <c r="G203" s="386"/>
      <c r="H203" s="386"/>
      <c r="I203" s="386"/>
      <c r="J203" s="386"/>
      <c r="K203" s="386"/>
      <c r="L203" s="386"/>
      <c r="M203" s="386"/>
      <c r="N203" s="386"/>
      <c r="O203" s="386"/>
      <c r="P203" s="386"/>
      <c r="Q203" s="386"/>
    </row>
    <row r="204" spans="1:98" ht="18" customHeight="1" x14ac:dyDescent="0.3">
      <c r="A204" s="386" t="s">
        <v>33</v>
      </c>
      <c r="B204" s="386"/>
      <c r="C204" s="386"/>
      <c r="D204" s="386"/>
      <c r="E204" s="386"/>
      <c r="F204" s="386"/>
      <c r="G204" s="386"/>
      <c r="H204" s="386"/>
      <c r="I204" s="386"/>
      <c r="J204" s="386"/>
      <c r="K204" s="386"/>
      <c r="L204" s="386"/>
      <c r="M204" s="386"/>
      <c r="N204" s="386"/>
      <c r="O204" s="386"/>
      <c r="P204" s="386"/>
      <c r="Q204" s="386"/>
    </row>
    <row r="205" spans="1:98" ht="18" customHeight="1" x14ac:dyDescent="0.3">
      <c r="A205" s="371" t="s">
        <v>48</v>
      </c>
      <c r="B205" s="371"/>
      <c r="C205" s="371"/>
      <c r="D205" s="371"/>
      <c r="E205" s="371"/>
      <c r="F205" s="371"/>
      <c r="G205" s="371"/>
      <c r="H205" s="371"/>
    </row>
    <row r="206" spans="1:98" ht="18" customHeight="1" x14ac:dyDescent="0.3">
      <c r="A206" s="371" t="s">
        <v>50</v>
      </c>
      <c r="B206" s="371"/>
      <c r="C206" s="371"/>
      <c r="D206" s="371"/>
      <c r="E206" s="371"/>
    </row>
  </sheetData>
  <sheetProtection algorithmName="SHA-512" hashValue="Wv93ev3RcKqJlPlZwf/TOLMigezs75KjbzFZ5jMEGvHVJuQJNqbwYpMdlikLXWW3SQgiZtKZ+eR5/l1W8l4f9w==" saltValue="nNsPUcFg2sKi6nrRqYWWaQ==" spinCount="100000" sheet="1" objects="1" scenarios="1" selectLockedCells="1" selectUnlockedCells="1"/>
  <mergeCells count="14">
    <mergeCell ref="A205:H205"/>
    <mergeCell ref="A206:E206"/>
    <mergeCell ref="A1:U1"/>
    <mergeCell ref="A202:Q202"/>
    <mergeCell ref="A203:Q203"/>
    <mergeCell ref="A204:Q204"/>
    <mergeCell ref="C2:E3"/>
    <mergeCell ref="F2:H3"/>
    <mergeCell ref="A2:A4"/>
    <mergeCell ref="B2:B4"/>
    <mergeCell ref="I2:U2"/>
    <mergeCell ref="I3:N3"/>
    <mergeCell ref="P3:U3"/>
    <mergeCell ref="A200:E20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4"/>
  <sheetViews>
    <sheetView workbookViewId="0">
      <selection activeCell="L84" sqref="A1:L84"/>
    </sheetView>
  </sheetViews>
  <sheetFormatPr defaultColWidth="9.109375" defaultRowHeight="14.4" x14ac:dyDescent="0.3"/>
  <cols>
    <col min="1" max="1" width="9.109375" style="5"/>
    <col min="2" max="2" width="12" style="5" customWidth="1"/>
    <col min="3" max="16384" width="9.109375" style="5"/>
  </cols>
  <sheetData>
    <row r="1" spans="1:12" x14ac:dyDescent="0.3">
      <c r="A1" s="3" t="s">
        <v>181</v>
      </c>
    </row>
    <row r="3" spans="1:12" ht="22.5" customHeight="1" thickBot="1" x14ac:dyDescent="0.35">
      <c r="A3" s="379" t="s">
        <v>51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</row>
    <row r="4" spans="1:12" ht="20.25" customHeight="1" thickBot="1" x14ac:dyDescent="0.35">
      <c r="A4" s="372" t="s">
        <v>36</v>
      </c>
      <c r="B4" s="375" t="s">
        <v>37</v>
      </c>
      <c r="C4" s="380" t="s">
        <v>49</v>
      </c>
      <c r="D4" s="381"/>
      <c r="E4" s="381"/>
      <c r="F4" s="381"/>
      <c r="G4" s="381"/>
      <c r="H4" s="381"/>
      <c r="I4" s="381"/>
      <c r="J4" s="381"/>
      <c r="K4" s="381"/>
      <c r="L4" s="382"/>
    </row>
    <row r="5" spans="1:12" ht="18" customHeight="1" x14ac:dyDescent="0.3">
      <c r="A5" s="373"/>
      <c r="B5" s="376"/>
      <c r="C5" s="383" t="s">
        <v>19</v>
      </c>
      <c r="D5" s="384"/>
      <c r="E5" s="384"/>
      <c r="F5" s="384"/>
      <c r="G5" s="384"/>
      <c r="H5" s="383" t="s">
        <v>15</v>
      </c>
      <c r="I5" s="384"/>
      <c r="J5" s="384"/>
      <c r="K5" s="384"/>
      <c r="L5" s="385"/>
    </row>
    <row r="6" spans="1:12" ht="19.5" customHeight="1" thickBot="1" x14ac:dyDescent="0.35">
      <c r="A6" s="374"/>
      <c r="B6" s="377"/>
      <c r="C6" s="111" t="str">
        <f>+'Pool Lbs &amp; Component Lbs'!I4</f>
        <v>Class 1</v>
      </c>
      <c r="D6" s="110" t="str">
        <f>+'Pool Lbs &amp; Component Lbs'!J4</f>
        <v>Class 2</v>
      </c>
      <c r="E6" s="110" t="str">
        <f>+'Pool Lbs &amp; Component Lbs'!K4</f>
        <v>Class 3</v>
      </c>
      <c r="F6" s="110" t="str">
        <f>+'Pool Lbs &amp; Component Lbs'!L4</f>
        <v>Class 4a</v>
      </c>
      <c r="G6" s="118" t="str">
        <f>+'Pool Lbs &amp; Component Lbs'!M4</f>
        <v>Class 4b</v>
      </c>
      <c r="H6" s="111" t="s">
        <v>20</v>
      </c>
      <c r="I6" s="110" t="s">
        <v>21</v>
      </c>
      <c r="J6" s="110" t="s">
        <v>22</v>
      </c>
      <c r="K6" s="110" t="s">
        <v>23</v>
      </c>
      <c r="L6" s="118" t="s">
        <v>24</v>
      </c>
    </row>
    <row r="7" spans="1:12" ht="15" thickTop="1" x14ac:dyDescent="0.3">
      <c r="A7" s="87">
        <f>+'Pool Lbs &amp; Component Lbs'!A122</f>
        <v>2009</v>
      </c>
      <c r="B7" s="88" t="str">
        <f>+'Pool Lbs &amp; Component Lbs'!B122</f>
        <v>JANUARY</v>
      </c>
      <c r="C7" s="115">
        <f>+'Pool Lbs &amp; Component Lbs'!I122/'Pool Lbs &amp; Component Lbs'!N122</f>
        <v>8.5659511409099012E-2</v>
      </c>
      <c r="D7" s="101">
        <f>+'Pool Lbs &amp; Component Lbs'!J122/'Pool Lbs &amp; Component Lbs'!N122</f>
        <v>5.8406965759519459E-2</v>
      </c>
      <c r="E7" s="101">
        <f>+'Pool Lbs &amp; Component Lbs'!K122/'Pool Lbs &amp; Component Lbs'!N122</f>
        <v>5.6680093778276715E-2</v>
      </c>
      <c r="F7" s="101">
        <f>+'Pool Lbs &amp; Component Lbs'!L122/'Pool Lbs &amp; Component Lbs'!N122</f>
        <v>0.4445473683006706</v>
      </c>
      <c r="G7" s="122">
        <f>+'Pool Lbs &amp; Component Lbs'!M122/'Pool Lbs &amp; Component Lbs'!N122</f>
        <v>0.35470606075243422</v>
      </c>
      <c r="H7" s="128">
        <f>+'Pool Lbs &amp; Component Lbs'!P122/'Pool Lbs &amp; Component Lbs'!$U122</f>
        <v>0.17060554571526376</v>
      </c>
      <c r="I7" s="102">
        <f>+'Pool Lbs &amp; Component Lbs'!Q122/'Pool Lbs &amp; Component Lbs'!$U122</f>
        <v>3.7747058596381181E-2</v>
      </c>
      <c r="J7" s="102">
        <f>+'Pool Lbs &amp; Component Lbs'!R122/'Pool Lbs &amp; Component Lbs'!$U122</f>
        <v>2.1892538976542995E-2</v>
      </c>
      <c r="K7" s="102">
        <f>+'Pool Lbs &amp; Component Lbs'!S122/'Pool Lbs &amp; Component Lbs'!$U122</f>
        <v>0.36942298856349365</v>
      </c>
      <c r="L7" s="103">
        <f>+'Pool Lbs &amp; Component Lbs'!T122/'Pool Lbs &amp; Component Lbs'!$U122</f>
        <v>0.40033186814831845</v>
      </c>
    </row>
    <row r="8" spans="1:12" x14ac:dyDescent="0.3">
      <c r="A8" s="79">
        <f>+'Pool Lbs &amp; Component Lbs'!A123</f>
        <v>2009</v>
      </c>
      <c r="B8" s="80" t="str">
        <f>+'Pool Lbs &amp; Component Lbs'!B123</f>
        <v>FEBRUARY</v>
      </c>
      <c r="C8" s="113">
        <f>+'Pool Lbs &amp; Component Lbs'!I123/'Pool Lbs &amp; Component Lbs'!N123</f>
        <v>8.7131640563460316E-2</v>
      </c>
      <c r="D8" s="95">
        <f>+'Pool Lbs &amp; Component Lbs'!J123/'Pool Lbs &amp; Component Lbs'!N123</f>
        <v>6.0545074516560264E-2</v>
      </c>
      <c r="E8" s="95">
        <f>+'Pool Lbs &amp; Component Lbs'!K123/'Pool Lbs &amp; Component Lbs'!N123</f>
        <v>6.5556917393790173E-2</v>
      </c>
      <c r="F8" s="95">
        <f>+'Pool Lbs &amp; Component Lbs'!L123/'Pool Lbs &amp; Component Lbs'!N123</f>
        <v>0.42420667322018063</v>
      </c>
      <c r="G8" s="120">
        <f>+'Pool Lbs &amp; Component Lbs'!M123/'Pool Lbs &amp; Component Lbs'!N123</f>
        <v>0.36255969430600865</v>
      </c>
      <c r="H8" s="126">
        <f>+'Pool Lbs &amp; Component Lbs'!P123/'Pool Lbs &amp; Component Lbs'!$U123</f>
        <v>0.17523318416842931</v>
      </c>
      <c r="I8" s="96">
        <f>+'Pool Lbs &amp; Component Lbs'!Q123/'Pool Lbs &amp; Component Lbs'!$U123</f>
        <v>4.1818767454835842E-2</v>
      </c>
      <c r="J8" s="96">
        <f>+'Pool Lbs &amp; Component Lbs'!R123/'Pool Lbs &amp; Component Lbs'!$U123</f>
        <v>2.5259574846100551E-2</v>
      </c>
      <c r="K8" s="96">
        <f>+'Pool Lbs &amp; Component Lbs'!S123/'Pool Lbs &amp; Component Lbs'!$U123</f>
        <v>0.34437286028392816</v>
      </c>
      <c r="L8" s="97">
        <f>+'Pool Lbs &amp; Component Lbs'!T123/'Pool Lbs &amp; Component Lbs'!$U123</f>
        <v>0.41331561324670613</v>
      </c>
    </row>
    <row r="9" spans="1:12" x14ac:dyDescent="0.3">
      <c r="A9" s="79">
        <f>+'Pool Lbs &amp; Component Lbs'!A124</f>
        <v>2009</v>
      </c>
      <c r="B9" s="80" t="str">
        <f>+'Pool Lbs &amp; Component Lbs'!B124</f>
        <v>MARCH</v>
      </c>
      <c r="C9" s="113">
        <f>+'Pool Lbs &amp; Component Lbs'!I124/'Pool Lbs &amp; Component Lbs'!N124</f>
        <v>8.8039146227689533E-2</v>
      </c>
      <c r="D9" s="95">
        <f>+'Pool Lbs &amp; Component Lbs'!J124/'Pool Lbs &amp; Component Lbs'!N124</f>
        <v>6.5064664739894099E-2</v>
      </c>
      <c r="E9" s="95">
        <f>+'Pool Lbs &amp; Component Lbs'!K124/'Pool Lbs &amp; Component Lbs'!N124</f>
        <v>6.4932476339158593E-2</v>
      </c>
      <c r="F9" s="95">
        <f>+'Pool Lbs &amp; Component Lbs'!L124/'Pool Lbs &amp; Component Lbs'!N124</f>
        <v>0.41330900408405402</v>
      </c>
      <c r="G9" s="120">
        <f>+'Pool Lbs &amp; Component Lbs'!M124/'Pool Lbs &amp; Component Lbs'!N124</f>
        <v>0.36865470860920374</v>
      </c>
      <c r="H9" s="126">
        <f>+'Pool Lbs &amp; Component Lbs'!P124/'Pool Lbs &amp; Component Lbs'!$U124</f>
        <v>0.1713926729073123</v>
      </c>
      <c r="I9" s="96">
        <f>+'Pool Lbs &amp; Component Lbs'!Q124/'Pool Lbs &amp; Component Lbs'!$U124</f>
        <v>4.2579949754499059E-2</v>
      </c>
      <c r="J9" s="96">
        <f>+'Pool Lbs &amp; Component Lbs'!R124/'Pool Lbs &amp; Component Lbs'!$U124</f>
        <v>3.0554481307318207E-2</v>
      </c>
      <c r="K9" s="96">
        <f>+'Pool Lbs &amp; Component Lbs'!S124/'Pool Lbs &amp; Component Lbs'!$U124</f>
        <v>0.34150743503697834</v>
      </c>
      <c r="L9" s="97">
        <f>+'Pool Lbs &amp; Component Lbs'!T124/'Pool Lbs &amp; Component Lbs'!$U124</f>
        <v>0.41396546099389214</v>
      </c>
    </row>
    <row r="10" spans="1:12" x14ac:dyDescent="0.3">
      <c r="A10" s="79">
        <f>+'Pool Lbs &amp; Component Lbs'!A125</f>
        <v>2009</v>
      </c>
      <c r="B10" s="80" t="str">
        <f>+'Pool Lbs &amp; Component Lbs'!B125</f>
        <v>APRIL</v>
      </c>
      <c r="C10" s="113">
        <f>+'Pool Lbs &amp; Component Lbs'!I125/'Pool Lbs &amp; Component Lbs'!N125</f>
        <v>8.939733978851859E-2</v>
      </c>
      <c r="D10" s="95">
        <f>+'Pool Lbs &amp; Component Lbs'!J125/'Pool Lbs &amp; Component Lbs'!N125</f>
        <v>7.075454523805462E-2</v>
      </c>
      <c r="E10" s="95">
        <f>+'Pool Lbs &amp; Component Lbs'!K125/'Pool Lbs &amp; Component Lbs'!N125</f>
        <v>7.2910057973255615E-2</v>
      </c>
      <c r="F10" s="95">
        <f>+'Pool Lbs &amp; Component Lbs'!L125/'Pool Lbs &amp; Component Lbs'!N125</f>
        <v>0.39725112854420069</v>
      </c>
      <c r="G10" s="120">
        <f>+'Pool Lbs &amp; Component Lbs'!M125/'Pool Lbs &amp; Component Lbs'!N125</f>
        <v>0.36968692845597051</v>
      </c>
      <c r="H10" s="126">
        <f>+'Pool Lbs &amp; Component Lbs'!P125/'Pool Lbs &amp; Component Lbs'!$U125</f>
        <v>0.16886172450637063</v>
      </c>
      <c r="I10" s="96">
        <f>+'Pool Lbs &amp; Component Lbs'!Q125/'Pool Lbs &amp; Component Lbs'!$U125</f>
        <v>4.0885393360675475E-2</v>
      </c>
      <c r="J10" s="96">
        <f>+'Pool Lbs &amp; Component Lbs'!R125/'Pool Lbs &amp; Component Lbs'!$U125</f>
        <v>3.4836669892398142E-2</v>
      </c>
      <c r="K10" s="96">
        <f>+'Pool Lbs &amp; Component Lbs'!S125/'Pool Lbs &amp; Component Lbs'!$U125</f>
        <v>0.34243449540043147</v>
      </c>
      <c r="L10" s="97">
        <f>+'Pool Lbs &amp; Component Lbs'!T125/'Pool Lbs &amp; Component Lbs'!$U125</f>
        <v>0.41298171684012425</v>
      </c>
    </row>
    <row r="11" spans="1:12" x14ac:dyDescent="0.3">
      <c r="A11" s="79">
        <f>+'Pool Lbs &amp; Component Lbs'!A126</f>
        <v>2009</v>
      </c>
      <c r="B11" s="80" t="str">
        <f>+'Pool Lbs &amp; Component Lbs'!B126</f>
        <v>MAY</v>
      </c>
      <c r="C11" s="113">
        <f>+'Pool Lbs &amp; Component Lbs'!I126/'Pool Lbs &amp; Component Lbs'!N126</f>
        <v>8.7299558477213407E-2</v>
      </c>
      <c r="D11" s="95">
        <f>+'Pool Lbs &amp; Component Lbs'!J126/'Pool Lbs &amp; Component Lbs'!N126</f>
        <v>6.9054702252420219E-2</v>
      </c>
      <c r="E11" s="95">
        <f>+'Pool Lbs &amp; Component Lbs'!K126/'Pool Lbs &amp; Component Lbs'!N126</f>
        <v>8.2763052999459935E-2</v>
      </c>
      <c r="F11" s="95">
        <f>+'Pool Lbs &amp; Component Lbs'!L126/'Pool Lbs &amp; Component Lbs'!N126</f>
        <v>0.39185733052935562</v>
      </c>
      <c r="G11" s="120">
        <f>+'Pool Lbs &amp; Component Lbs'!M126/'Pool Lbs &amp; Component Lbs'!N126</f>
        <v>0.36902535574155082</v>
      </c>
      <c r="H11" s="126">
        <f>+'Pool Lbs &amp; Component Lbs'!P126/'Pool Lbs &amp; Component Lbs'!$U126</f>
        <v>0.16533709486563086</v>
      </c>
      <c r="I11" s="96">
        <f>+'Pool Lbs &amp; Component Lbs'!Q126/'Pool Lbs &amp; Component Lbs'!$U126</f>
        <v>4.1398240563460947E-2</v>
      </c>
      <c r="J11" s="96">
        <f>+'Pool Lbs &amp; Component Lbs'!R126/'Pool Lbs &amp; Component Lbs'!$U126</f>
        <v>3.1910883748769069E-2</v>
      </c>
      <c r="K11" s="96">
        <f>+'Pool Lbs &amp; Component Lbs'!S126/'Pool Lbs &amp; Component Lbs'!$U126</f>
        <v>0.3575762030506931</v>
      </c>
      <c r="L11" s="97">
        <f>+'Pool Lbs &amp; Component Lbs'!T126/'Pool Lbs &amp; Component Lbs'!$U126</f>
        <v>0.40377757777144602</v>
      </c>
    </row>
    <row r="12" spans="1:12" x14ac:dyDescent="0.3">
      <c r="A12" s="79">
        <f>+'Pool Lbs &amp; Component Lbs'!A127</f>
        <v>2009</v>
      </c>
      <c r="B12" s="80" t="str">
        <f>+'Pool Lbs &amp; Component Lbs'!B127</f>
        <v>JUNE</v>
      </c>
      <c r="C12" s="113">
        <f>+'Pool Lbs &amp; Component Lbs'!I127/'Pool Lbs &amp; Component Lbs'!N127</f>
        <v>9.3951142801186036E-2</v>
      </c>
      <c r="D12" s="95">
        <f>+'Pool Lbs &amp; Component Lbs'!J127/'Pool Lbs &amp; Component Lbs'!N127</f>
        <v>7.9449291251639687E-2</v>
      </c>
      <c r="E12" s="95">
        <f>+'Pool Lbs &amp; Component Lbs'!K127/'Pool Lbs &amp; Component Lbs'!N127</f>
        <v>8.5522146888470485E-2</v>
      </c>
      <c r="F12" s="95">
        <f>+'Pool Lbs &amp; Component Lbs'!L127/'Pool Lbs &amp; Component Lbs'!N127</f>
        <v>0.36972874816048912</v>
      </c>
      <c r="G12" s="120">
        <f>+'Pool Lbs &amp; Component Lbs'!M127/'Pool Lbs &amp; Component Lbs'!N127</f>
        <v>0.37134867089821472</v>
      </c>
      <c r="H12" s="126">
        <f>+'Pool Lbs &amp; Component Lbs'!P127/'Pool Lbs &amp; Component Lbs'!$U127</f>
        <v>0.17073498173152032</v>
      </c>
      <c r="I12" s="96">
        <f>+'Pool Lbs &amp; Component Lbs'!Q127/'Pool Lbs &amp; Component Lbs'!$U127</f>
        <v>4.36657754280627E-2</v>
      </c>
      <c r="J12" s="96">
        <f>+'Pool Lbs &amp; Component Lbs'!R127/'Pool Lbs &amp; Component Lbs'!$U127</f>
        <v>3.3310894339615815E-2</v>
      </c>
      <c r="K12" s="96">
        <f>+'Pool Lbs &amp; Component Lbs'!S127/'Pool Lbs &amp; Component Lbs'!$U127</f>
        <v>0.34027772582021737</v>
      </c>
      <c r="L12" s="97">
        <f>+'Pool Lbs &amp; Component Lbs'!T127/'Pool Lbs &amp; Component Lbs'!$U127</f>
        <v>0.4120106226805838</v>
      </c>
    </row>
    <row r="13" spans="1:12" x14ac:dyDescent="0.3">
      <c r="A13" s="79">
        <f>+'Pool Lbs &amp; Component Lbs'!A128</f>
        <v>2009</v>
      </c>
      <c r="B13" s="80" t="str">
        <f>+'Pool Lbs &amp; Component Lbs'!B128</f>
        <v>JULY</v>
      </c>
      <c r="C13" s="113">
        <f>+'Pool Lbs &amp; Component Lbs'!I128/'Pool Lbs &amp; Component Lbs'!N128</f>
        <v>9.7774413171526839E-2</v>
      </c>
      <c r="D13" s="95">
        <f>+'Pool Lbs &amp; Component Lbs'!J128/'Pool Lbs &amp; Component Lbs'!N128</f>
        <v>7.5572274668936748E-2</v>
      </c>
      <c r="E13" s="95">
        <f>+'Pool Lbs &amp; Component Lbs'!K128/'Pool Lbs &amp; Component Lbs'!N128</f>
        <v>8.4279763245393366E-2</v>
      </c>
      <c r="F13" s="95">
        <f>+'Pool Lbs &amp; Component Lbs'!L128/'Pool Lbs &amp; Component Lbs'!N128</f>
        <v>0.37540316423562464</v>
      </c>
      <c r="G13" s="120">
        <f>+'Pool Lbs &amp; Component Lbs'!M128/'Pool Lbs &amp; Component Lbs'!N128</f>
        <v>0.36697038467851839</v>
      </c>
      <c r="H13" s="126">
        <f>+'Pool Lbs &amp; Component Lbs'!P128/'Pool Lbs &amp; Component Lbs'!$U128</f>
        <v>0.1783053687319654</v>
      </c>
      <c r="I13" s="96">
        <f>+'Pool Lbs &amp; Component Lbs'!Q128/'Pool Lbs &amp; Component Lbs'!$U128</f>
        <v>4.1900719393958945E-2</v>
      </c>
      <c r="J13" s="96">
        <f>+'Pool Lbs &amp; Component Lbs'!R128/'Pool Lbs &amp; Component Lbs'!$U128</f>
        <v>3.0909938941339057E-2</v>
      </c>
      <c r="K13" s="96">
        <f>+'Pool Lbs &amp; Component Lbs'!S128/'Pool Lbs &amp; Component Lbs'!$U128</f>
        <v>0.32309685873216548</v>
      </c>
      <c r="L13" s="97">
        <f>+'Pool Lbs &amp; Component Lbs'!T128/'Pool Lbs &amp; Component Lbs'!$U128</f>
        <v>0.42578711420057114</v>
      </c>
    </row>
    <row r="14" spans="1:12" x14ac:dyDescent="0.3">
      <c r="A14" s="79">
        <f>+'Pool Lbs &amp; Component Lbs'!A129</f>
        <v>2009</v>
      </c>
      <c r="B14" s="80" t="str">
        <f>+'Pool Lbs &amp; Component Lbs'!B129</f>
        <v>AUGUST</v>
      </c>
      <c r="C14" s="113">
        <f>+'Pool Lbs &amp; Component Lbs'!I129/'Pool Lbs &amp; Component Lbs'!N129</f>
        <v>9.695189726812041E-2</v>
      </c>
      <c r="D14" s="95">
        <f>+'Pool Lbs &amp; Component Lbs'!J129/'Pool Lbs &amp; Component Lbs'!N129</f>
        <v>8.0208016218691475E-2</v>
      </c>
      <c r="E14" s="95">
        <f>+'Pool Lbs &amp; Component Lbs'!K129/'Pool Lbs &amp; Component Lbs'!N129</f>
        <v>8.4693095113909475E-2</v>
      </c>
      <c r="F14" s="95">
        <f>+'Pool Lbs &amp; Component Lbs'!L129/'Pool Lbs &amp; Component Lbs'!N129</f>
        <v>0.36869528758781073</v>
      </c>
      <c r="G14" s="120">
        <f>+'Pool Lbs &amp; Component Lbs'!M129/'Pool Lbs &amp; Component Lbs'!N129</f>
        <v>0.36945170381146791</v>
      </c>
      <c r="H14" s="126">
        <f>+'Pool Lbs &amp; Component Lbs'!P129/'Pool Lbs &amp; Component Lbs'!$U129</f>
        <v>0.18250514202610404</v>
      </c>
      <c r="I14" s="96">
        <f>+'Pool Lbs &amp; Component Lbs'!Q129/'Pool Lbs &amp; Component Lbs'!$U129</f>
        <v>4.6854202639299458E-2</v>
      </c>
      <c r="J14" s="96">
        <f>+'Pool Lbs &amp; Component Lbs'!R129/'Pool Lbs &amp; Component Lbs'!$U129</f>
        <v>3.1371907353154524E-2</v>
      </c>
      <c r="K14" s="96">
        <f>+'Pool Lbs &amp; Component Lbs'!S129/'Pool Lbs &amp; Component Lbs'!$U129</f>
        <v>0.3130129343800736</v>
      </c>
      <c r="L14" s="97">
        <f>+'Pool Lbs &amp; Component Lbs'!T129/'Pool Lbs &amp; Component Lbs'!$U129</f>
        <v>0.42625581360136833</v>
      </c>
    </row>
    <row r="15" spans="1:12" x14ac:dyDescent="0.3">
      <c r="A15" s="79">
        <f>+'Pool Lbs &amp; Component Lbs'!A130</f>
        <v>2009</v>
      </c>
      <c r="B15" s="80" t="str">
        <f>+'Pool Lbs &amp; Component Lbs'!B130</f>
        <v>SEPTEMBER</v>
      </c>
      <c r="C15" s="113">
        <f>+'Pool Lbs &amp; Component Lbs'!I130/'Pool Lbs &amp; Component Lbs'!N130</f>
        <v>9.9764283032929862E-2</v>
      </c>
      <c r="D15" s="95">
        <f>+'Pool Lbs &amp; Component Lbs'!J130/'Pool Lbs &amp; Component Lbs'!N130</f>
        <v>7.9201063065370864E-2</v>
      </c>
      <c r="E15" s="95">
        <f>+'Pool Lbs &amp; Component Lbs'!K130/'Pool Lbs &amp; Component Lbs'!N130</f>
        <v>7.6503954642565264E-2</v>
      </c>
      <c r="F15" s="95">
        <f>+'Pool Lbs &amp; Component Lbs'!L130/'Pool Lbs &amp; Component Lbs'!N130</f>
        <v>0.37208524714059371</v>
      </c>
      <c r="G15" s="120">
        <f>+'Pool Lbs &amp; Component Lbs'!M130/'Pool Lbs &amp; Component Lbs'!N130</f>
        <v>0.3724454521185403</v>
      </c>
      <c r="H15" s="126">
        <f>+'Pool Lbs &amp; Component Lbs'!P130/'Pool Lbs &amp; Component Lbs'!$U130</f>
        <v>0.1943282535202456</v>
      </c>
      <c r="I15" s="96">
        <f>+'Pool Lbs &amp; Component Lbs'!Q130/'Pool Lbs &amp; Component Lbs'!$U130</f>
        <v>4.7091496307396515E-2</v>
      </c>
      <c r="J15" s="96">
        <f>+'Pool Lbs &amp; Component Lbs'!R130/'Pool Lbs &amp; Component Lbs'!$U130</f>
        <v>2.9548825830626447E-2</v>
      </c>
      <c r="K15" s="96">
        <f>+'Pool Lbs &amp; Component Lbs'!S130/'Pool Lbs &amp; Component Lbs'!$U130</f>
        <v>0.28622598510136027</v>
      </c>
      <c r="L15" s="97">
        <f>+'Pool Lbs &amp; Component Lbs'!T130/'Pool Lbs &amp; Component Lbs'!$U130</f>
        <v>0.44280543924037113</v>
      </c>
    </row>
    <row r="16" spans="1:12" x14ac:dyDescent="0.3">
      <c r="A16" s="79">
        <f>+'Pool Lbs &amp; Component Lbs'!A131</f>
        <v>2009</v>
      </c>
      <c r="B16" s="80" t="str">
        <f>+'Pool Lbs &amp; Component Lbs'!B131</f>
        <v>OCTOBER</v>
      </c>
      <c r="C16" s="113">
        <f>+'Pool Lbs &amp; Component Lbs'!I131/'Pool Lbs &amp; Component Lbs'!N131</f>
        <v>9.682952033578332E-2</v>
      </c>
      <c r="D16" s="95">
        <f>+'Pool Lbs &amp; Component Lbs'!J131/'Pool Lbs &amp; Component Lbs'!N131</f>
        <v>9.5913363604960222E-2</v>
      </c>
      <c r="E16" s="95">
        <f>+'Pool Lbs &amp; Component Lbs'!K131/'Pool Lbs &amp; Component Lbs'!N131</f>
        <v>6.1951826142264028E-2</v>
      </c>
      <c r="F16" s="95">
        <f>+'Pool Lbs &amp; Component Lbs'!L131/'Pool Lbs &amp; Component Lbs'!N131</f>
        <v>0.37795222611378854</v>
      </c>
      <c r="G16" s="120">
        <f>+'Pool Lbs &amp; Component Lbs'!M131/'Pool Lbs &amp; Component Lbs'!N131</f>
        <v>0.36735306380320387</v>
      </c>
      <c r="H16" s="126">
        <f>+'Pool Lbs &amp; Component Lbs'!P131/'Pool Lbs &amp; Component Lbs'!$U131</f>
        <v>0.19110699689951194</v>
      </c>
      <c r="I16" s="96">
        <f>+'Pool Lbs &amp; Component Lbs'!Q131/'Pool Lbs &amp; Component Lbs'!$U131</f>
        <v>4.3291501135501391E-2</v>
      </c>
      <c r="J16" s="96">
        <f>+'Pool Lbs &amp; Component Lbs'!R131/'Pool Lbs &amp; Component Lbs'!$U131</f>
        <v>2.3743029195158485E-2</v>
      </c>
      <c r="K16" s="96">
        <f>+'Pool Lbs &amp; Component Lbs'!S131/'Pool Lbs &amp; Component Lbs'!$U131</f>
        <v>0.31062159334666528</v>
      </c>
      <c r="L16" s="97">
        <f>+'Pool Lbs &amp; Component Lbs'!T131/'Pool Lbs &amp; Component Lbs'!$U131</f>
        <v>0.43123687942316291</v>
      </c>
    </row>
    <row r="17" spans="1:12" x14ac:dyDescent="0.3">
      <c r="A17" s="79">
        <f>+'Pool Lbs &amp; Component Lbs'!A132</f>
        <v>2009</v>
      </c>
      <c r="B17" s="80" t="str">
        <f>+'Pool Lbs &amp; Component Lbs'!B132</f>
        <v>NOVEMBER</v>
      </c>
      <c r="C17" s="113">
        <f>+'Pool Lbs &amp; Component Lbs'!I132/'Pool Lbs &amp; Component Lbs'!N132</f>
        <v>9.5771683851603631E-2</v>
      </c>
      <c r="D17" s="95">
        <f>+'Pool Lbs &amp; Component Lbs'!J132/'Pool Lbs &amp; Component Lbs'!N132</f>
        <v>0.10715709060023797</v>
      </c>
      <c r="E17" s="95">
        <f>+'Pool Lbs &amp; Component Lbs'!K132/'Pool Lbs &amp; Component Lbs'!N132</f>
        <v>5.0166049598813503E-2</v>
      </c>
      <c r="F17" s="95">
        <f>+'Pool Lbs &amp; Component Lbs'!L132/'Pool Lbs &amp; Component Lbs'!N132</f>
        <v>0.39146482831700358</v>
      </c>
      <c r="G17" s="120">
        <f>+'Pool Lbs &amp; Component Lbs'!M132/'Pool Lbs &amp; Component Lbs'!N132</f>
        <v>0.35544034763234134</v>
      </c>
      <c r="H17" s="126">
        <f>+'Pool Lbs &amp; Component Lbs'!P132/'Pool Lbs &amp; Component Lbs'!$U132</f>
        <v>0.19063073207466433</v>
      </c>
      <c r="I17" s="96">
        <f>+'Pool Lbs &amp; Component Lbs'!Q132/'Pool Lbs &amp; Component Lbs'!$U132</f>
        <v>4.3852306495414321E-2</v>
      </c>
      <c r="J17" s="96">
        <f>+'Pool Lbs &amp; Component Lbs'!R132/'Pool Lbs &amp; Component Lbs'!$U132</f>
        <v>1.9308484008016061E-2</v>
      </c>
      <c r="K17" s="96">
        <f>+'Pool Lbs &amp; Component Lbs'!S132/'Pool Lbs &amp; Component Lbs'!$U132</f>
        <v>0.3261037790427625</v>
      </c>
      <c r="L17" s="97">
        <f>+'Pool Lbs &amp; Component Lbs'!T132/'Pool Lbs &amp; Component Lbs'!$U132</f>
        <v>0.42010469837914283</v>
      </c>
    </row>
    <row r="18" spans="1:12" ht="15" thickBot="1" x14ac:dyDescent="0.35">
      <c r="A18" s="89">
        <f>+'Pool Lbs &amp; Component Lbs'!A133</f>
        <v>2009</v>
      </c>
      <c r="B18" s="90" t="str">
        <f>+'Pool Lbs &amp; Component Lbs'!B133</f>
        <v>DECEMBER</v>
      </c>
      <c r="C18" s="116">
        <f>+'Pool Lbs &amp; Component Lbs'!I133/'Pool Lbs &amp; Component Lbs'!N133</f>
        <v>9.3935534620072841E-2</v>
      </c>
      <c r="D18" s="104">
        <f>+'Pool Lbs &amp; Component Lbs'!J133/'Pool Lbs &amp; Component Lbs'!N133</f>
        <v>9.8329349221453616E-2</v>
      </c>
      <c r="E18" s="104">
        <f>+'Pool Lbs &amp; Component Lbs'!K133/'Pool Lbs &amp; Component Lbs'!N133</f>
        <v>3.9837018057889903E-2</v>
      </c>
      <c r="F18" s="104">
        <f>+'Pool Lbs &amp; Component Lbs'!L133/'Pool Lbs &amp; Component Lbs'!N133</f>
        <v>0.41405420352043021</v>
      </c>
      <c r="G18" s="123">
        <f>+'Pool Lbs &amp; Component Lbs'!M133/'Pool Lbs &amp; Component Lbs'!N133</f>
        <v>0.35384389458015342</v>
      </c>
      <c r="H18" s="129">
        <f>+'Pool Lbs &amp; Component Lbs'!P133/'Pool Lbs &amp; Component Lbs'!$U133</f>
        <v>0.18559596020625904</v>
      </c>
      <c r="I18" s="105">
        <f>+'Pool Lbs &amp; Component Lbs'!Q133/'Pool Lbs &amp; Component Lbs'!$U133</f>
        <v>4.1187505928122391E-2</v>
      </c>
      <c r="J18" s="105">
        <f>+'Pool Lbs &amp; Component Lbs'!R133/'Pool Lbs &amp; Component Lbs'!$U133</f>
        <v>1.5775910050548882E-2</v>
      </c>
      <c r="K18" s="105">
        <f>+'Pool Lbs &amp; Component Lbs'!S133/'Pool Lbs &amp; Component Lbs'!$U133</f>
        <v>0.34582228509024554</v>
      </c>
      <c r="L18" s="106">
        <f>+'Pool Lbs &amp; Component Lbs'!T133/'Pool Lbs &amp; Component Lbs'!$U133</f>
        <v>0.41161833872482412</v>
      </c>
    </row>
    <row r="19" spans="1:12" ht="15" thickTop="1" x14ac:dyDescent="0.3">
      <c r="A19" s="85">
        <f>+'Pool Lbs &amp; Component Lbs'!A135</f>
        <v>2010</v>
      </c>
      <c r="B19" s="86" t="str">
        <f>+'Pool Lbs &amp; Component Lbs'!B135</f>
        <v>JANUARY</v>
      </c>
      <c r="C19" s="112">
        <f>+'Pool Lbs &amp; Component Lbs'!I135/'Pool Lbs &amp; Component Lbs'!N135</f>
        <v>8.9053820689649704E-2</v>
      </c>
      <c r="D19" s="91">
        <f>+'Pool Lbs &amp; Component Lbs'!J135/'Pool Lbs &amp; Component Lbs'!N135</f>
        <v>6.7694230918026232E-2</v>
      </c>
      <c r="E19" s="91">
        <f>+'Pool Lbs &amp; Component Lbs'!K135/'Pool Lbs &amp; Component Lbs'!N135</f>
        <v>5.0330015345528042E-2</v>
      </c>
      <c r="F19" s="91">
        <f>+'Pool Lbs &amp; Component Lbs'!L135/'Pool Lbs &amp; Component Lbs'!N135</f>
        <v>0.44501934784923297</v>
      </c>
      <c r="G19" s="119">
        <f>+'Pool Lbs &amp; Component Lbs'!M135/'Pool Lbs &amp; Component Lbs'!N135</f>
        <v>0.34790258519756306</v>
      </c>
      <c r="H19" s="125">
        <f>+'Pool Lbs &amp; Component Lbs'!P135/'Pool Lbs &amp; Component Lbs'!$U135</f>
        <v>0.1802168723373421</v>
      </c>
      <c r="I19" s="92">
        <f>+'Pool Lbs &amp; Component Lbs'!Q135/'Pool Lbs &amp; Component Lbs'!$U135</f>
        <v>4.0032954888126165E-2</v>
      </c>
      <c r="J19" s="92">
        <f>+'Pool Lbs &amp; Component Lbs'!R135/'Pool Lbs &amp; Component Lbs'!$U135</f>
        <v>1.9428185702782694E-2</v>
      </c>
      <c r="K19" s="92">
        <f>+'Pool Lbs &amp; Component Lbs'!S135/'Pool Lbs &amp; Component Lbs'!$U135</f>
        <v>0.35295673097657082</v>
      </c>
      <c r="L19" s="93">
        <f>+'Pool Lbs &amp; Component Lbs'!T135/'Pool Lbs &amp; Component Lbs'!$U135</f>
        <v>0.40736525609517821</v>
      </c>
    </row>
    <row r="20" spans="1:12" x14ac:dyDescent="0.3">
      <c r="A20" s="79">
        <f>+'Pool Lbs &amp; Component Lbs'!A136</f>
        <v>2010</v>
      </c>
      <c r="B20" s="80" t="str">
        <f>+'Pool Lbs &amp; Component Lbs'!B136</f>
        <v>FEBRUARY</v>
      </c>
      <c r="C20" s="113">
        <f>+'Pool Lbs &amp; Component Lbs'!I136/'Pool Lbs &amp; Component Lbs'!N136</f>
        <v>9.1250544185224144E-2</v>
      </c>
      <c r="D20" s="95">
        <f>+'Pool Lbs &amp; Component Lbs'!J136/'Pool Lbs &amp; Component Lbs'!N136</f>
        <v>6.589046583845902E-2</v>
      </c>
      <c r="E20" s="95">
        <f>+'Pool Lbs &amp; Component Lbs'!K136/'Pool Lbs &amp; Component Lbs'!N136</f>
        <v>5.6698142359515834E-2</v>
      </c>
      <c r="F20" s="95">
        <f>+'Pool Lbs &amp; Component Lbs'!L136/'Pool Lbs &amp; Component Lbs'!N136</f>
        <v>0.4456115622328215</v>
      </c>
      <c r="G20" s="120">
        <f>+'Pool Lbs &amp; Component Lbs'!M136/'Pool Lbs &amp; Component Lbs'!N136</f>
        <v>0.34054928538397949</v>
      </c>
      <c r="H20" s="126">
        <f>+'Pool Lbs &amp; Component Lbs'!P136/'Pool Lbs &amp; Component Lbs'!$U136</f>
        <v>0.18032882528333372</v>
      </c>
      <c r="I20" s="96">
        <f>+'Pool Lbs &amp; Component Lbs'!Q136/'Pool Lbs &amp; Component Lbs'!$U136</f>
        <v>4.0113974215034834E-2</v>
      </c>
      <c r="J20" s="96">
        <f>+'Pool Lbs &amp; Component Lbs'!R136/'Pool Lbs &amp; Component Lbs'!$U136</f>
        <v>2.1168880434422412E-2</v>
      </c>
      <c r="K20" s="96">
        <f>+'Pool Lbs &amp; Component Lbs'!S136/'Pool Lbs &amp; Component Lbs'!$U136</f>
        <v>0.35114835925751592</v>
      </c>
      <c r="L20" s="97">
        <f>+'Pool Lbs &amp; Component Lbs'!T136/'Pool Lbs &amp; Component Lbs'!$U136</f>
        <v>0.4072399608096931</v>
      </c>
    </row>
    <row r="21" spans="1:12" x14ac:dyDescent="0.3">
      <c r="A21" s="79">
        <f>+'Pool Lbs &amp; Component Lbs'!A137</f>
        <v>2010</v>
      </c>
      <c r="B21" s="80" t="str">
        <f>+'Pool Lbs &amp; Component Lbs'!B137</f>
        <v>MARCH</v>
      </c>
      <c r="C21" s="113">
        <f>+'Pool Lbs &amp; Component Lbs'!I137/'Pool Lbs &amp; Component Lbs'!N137</f>
        <v>9.0253359602527991E-2</v>
      </c>
      <c r="D21" s="95">
        <f>+'Pool Lbs &amp; Component Lbs'!J137/'Pool Lbs &amp; Component Lbs'!N137</f>
        <v>7.8099355461229966E-2</v>
      </c>
      <c r="E21" s="95">
        <f>+'Pool Lbs &amp; Component Lbs'!K137/'Pool Lbs &amp; Component Lbs'!N137</f>
        <v>7.4258341851942397E-2</v>
      </c>
      <c r="F21" s="95">
        <f>+'Pool Lbs &amp; Component Lbs'!L137/'Pool Lbs &amp; Component Lbs'!N137</f>
        <v>0.40352823378021463</v>
      </c>
      <c r="G21" s="120">
        <f>+'Pool Lbs &amp; Component Lbs'!M137/'Pool Lbs &amp; Component Lbs'!N137</f>
        <v>0.35386070930408497</v>
      </c>
      <c r="H21" s="126">
        <f>+'Pool Lbs &amp; Component Lbs'!P137/'Pool Lbs &amp; Component Lbs'!$U137</f>
        <v>0.17780519550840057</v>
      </c>
      <c r="I21" s="96">
        <f>+'Pool Lbs &amp; Component Lbs'!Q137/'Pool Lbs &amp; Component Lbs'!$U137</f>
        <v>4.3641433427107829E-2</v>
      </c>
      <c r="J21" s="96">
        <f>+'Pool Lbs &amp; Component Lbs'!R137/'Pool Lbs &amp; Component Lbs'!$U137</f>
        <v>2.7125942449562058E-2</v>
      </c>
      <c r="K21" s="96">
        <f>+'Pool Lbs &amp; Component Lbs'!S137/'Pool Lbs &amp; Component Lbs'!$U137</f>
        <v>0.33499392655968663</v>
      </c>
      <c r="L21" s="97">
        <f>+'Pool Lbs &amp; Component Lbs'!T137/'Pool Lbs &amp; Component Lbs'!$U137</f>
        <v>0.41643350205524288</v>
      </c>
    </row>
    <row r="22" spans="1:12" x14ac:dyDescent="0.3">
      <c r="A22" s="79">
        <f>+'Pool Lbs &amp; Component Lbs'!A138</f>
        <v>2010</v>
      </c>
      <c r="B22" s="80" t="str">
        <f>+'Pool Lbs &amp; Component Lbs'!B138</f>
        <v>APRIL</v>
      </c>
      <c r="C22" s="113">
        <f>+'Pool Lbs &amp; Component Lbs'!I138/'Pool Lbs &amp; Component Lbs'!N138</f>
        <v>9.0033197147257493E-2</v>
      </c>
      <c r="D22" s="95">
        <f>+'Pool Lbs &amp; Component Lbs'!J138/'Pool Lbs &amp; Component Lbs'!N138</f>
        <v>8.1768815776991827E-2</v>
      </c>
      <c r="E22" s="95">
        <f>+'Pool Lbs &amp; Component Lbs'!K138/'Pool Lbs &amp; Component Lbs'!N138</f>
        <v>9.1073549220586025E-2</v>
      </c>
      <c r="F22" s="95">
        <f>+'Pool Lbs &amp; Component Lbs'!L138/'Pool Lbs &amp; Component Lbs'!N138</f>
        <v>0.38493622034085478</v>
      </c>
      <c r="G22" s="120">
        <f>+'Pool Lbs &amp; Component Lbs'!M138/'Pool Lbs &amp; Component Lbs'!N138</f>
        <v>0.3521882175143099</v>
      </c>
      <c r="H22" s="126">
        <f>+'Pool Lbs &amp; Component Lbs'!P138/'Pool Lbs &amp; Component Lbs'!$U138</f>
        <v>0.17466662285328563</v>
      </c>
      <c r="I22" s="96">
        <f>+'Pool Lbs &amp; Component Lbs'!Q138/'Pool Lbs &amp; Component Lbs'!$U138</f>
        <v>4.0100392390257304E-2</v>
      </c>
      <c r="J22" s="96">
        <f>+'Pool Lbs &amp; Component Lbs'!R138/'Pool Lbs &amp; Component Lbs'!$U138</f>
        <v>2.8255966062808155E-2</v>
      </c>
      <c r="K22" s="96">
        <f>+'Pool Lbs &amp; Component Lbs'!S138/'Pool Lbs &amp; Component Lbs'!$U138</f>
        <v>0.3508014351258289</v>
      </c>
      <c r="L22" s="97">
        <f>+'Pool Lbs &amp; Component Lbs'!T138/'Pool Lbs &amp; Component Lbs'!$U138</f>
        <v>0.40617558356781996</v>
      </c>
    </row>
    <row r="23" spans="1:12" x14ac:dyDescent="0.3">
      <c r="A23" s="79">
        <f>+'Pool Lbs &amp; Component Lbs'!A139</f>
        <v>2010</v>
      </c>
      <c r="B23" s="80" t="str">
        <f>+'Pool Lbs &amp; Component Lbs'!B139</f>
        <v>MAY</v>
      </c>
      <c r="C23" s="113">
        <f>+'Pool Lbs &amp; Component Lbs'!I139/'Pool Lbs &amp; Component Lbs'!N139</f>
        <v>8.477742826310726E-2</v>
      </c>
      <c r="D23" s="95">
        <f>+'Pool Lbs &amp; Component Lbs'!J139/'Pool Lbs &amp; Component Lbs'!N139</f>
        <v>8.8353328809025689E-2</v>
      </c>
      <c r="E23" s="95">
        <f>+'Pool Lbs &amp; Component Lbs'!K139/'Pool Lbs &amp; Component Lbs'!N139</f>
        <v>8.8025083977397486E-2</v>
      </c>
      <c r="F23" s="95">
        <f>+'Pool Lbs &amp; Component Lbs'!L139/'Pool Lbs &amp; Component Lbs'!N139</f>
        <v>0.3842952027994993</v>
      </c>
      <c r="G23" s="120">
        <f>+'Pool Lbs &amp; Component Lbs'!M139/'Pool Lbs &amp; Component Lbs'!N139</f>
        <v>0.35454895615097026</v>
      </c>
      <c r="H23" s="126">
        <f>+'Pool Lbs &amp; Component Lbs'!P139/'Pool Lbs &amp; Component Lbs'!$U139</f>
        <v>0.16640526377883427</v>
      </c>
      <c r="I23" s="96">
        <f>+'Pool Lbs &amp; Component Lbs'!Q139/'Pool Lbs &amp; Component Lbs'!$U139</f>
        <v>4.1476857501262537E-2</v>
      </c>
      <c r="J23" s="96">
        <f>+'Pool Lbs &amp; Component Lbs'!R139/'Pool Lbs &amp; Component Lbs'!$U139</f>
        <v>2.77305631449489E-2</v>
      </c>
      <c r="K23" s="96">
        <f>+'Pool Lbs &amp; Component Lbs'!S139/'Pool Lbs &amp; Component Lbs'!$U139</f>
        <v>0.35703090597948955</v>
      </c>
      <c r="L23" s="97">
        <f>+'Pool Lbs &amp; Component Lbs'!T139/'Pool Lbs &amp; Component Lbs'!$U139</f>
        <v>0.40735640959546471</v>
      </c>
    </row>
    <row r="24" spans="1:12" x14ac:dyDescent="0.3">
      <c r="A24" s="79">
        <f>+'Pool Lbs &amp; Component Lbs'!A140</f>
        <v>2010</v>
      </c>
      <c r="B24" s="80" t="str">
        <f>+'Pool Lbs &amp; Component Lbs'!B140</f>
        <v>JUNE</v>
      </c>
      <c r="C24" s="113">
        <f>+'Pool Lbs &amp; Component Lbs'!I140/'Pool Lbs &amp; Component Lbs'!N140</f>
        <v>8.7008556568526949E-2</v>
      </c>
      <c r="D24" s="95">
        <f>+'Pool Lbs &amp; Component Lbs'!J140/'Pool Lbs &amp; Component Lbs'!N140</f>
        <v>9.0890413173483967E-2</v>
      </c>
      <c r="E24" s="95">
        <f>+'Pool Lbs &amp; Component Lbs'!K140/'Pool Lbs &amp; Component Lbs'!N140</f>
        <v>9.2127097246910011E-2</v>
      </c>
      <c r="F24" s="95">
        <f>+'Pool Lbs &amp; Component Lbs'!L140/'Pool Lbs &amp; Component Lbs'!N140</f>
        <v>0.36267345523235595</v>
      </c>
      <c r="G24" s="120">
        <f>+'Pool Lbs &amp; Component Lbs'!M140/'Pool Lbs &amp; Component Lbs'!N140</f>
        <v>0.36730047777872316</v>
      </c>
      <c r="H24" s="126">
        <f>+'Pool Lbs &amp; Component Lbs'!P140/'Pool Lbs &amp; Component Lbs'!$U140</f>
        <v>0.16220246870238098</v>
      </c>
      <c r="I24" s="96">
        <f>+'Pool Lbs &amp; Component Lbs'!Q140/'Pool Lbs &amp; Component Lbs'!$U140</f>
        <v>4.3003836123633343E-2</v>
      </c>
      <c r="J24" s="96">
        <f>+'Pool Lbs &amp; Component Lbs'!R140/'Pool Lbs &amp; Component Lbs'!$U140</f>
        <v>2.9643824048493157E-2</v>
      </c>
      <c r="K24" s="96">
        <f>+'Pool Lbs &amp; Component Lbs'!S140/'Pool Lbs &amp; Component Lbs'!$U140</f>
        <v>0.34393154422720956</v>
      </c>
      <c r="L24" s="97">
        <f>+'Pool Lbs &amp; Component Lbs'!T140/'Pool Lbs &amp; Component Lbs'!$U140</f>
        <v>0.42121832689828292</v>
      </c>
    </row>
    <row r="25" spans="1:12" x14ac:dyDescent="0.3">
      <c r="A25" s="79">
        <f>+'Pool Lbs &amp; Component Lbs'!A141</f>
        <v>2010</v>
      </c>
      <c r="B25" s="80" t="str">
        <f>+'Pool Lbs &amp; Component Lbs'!B141</f>
        <v>JULY</v>
      </c>
      <c r="C25" s="113">
        <f>+'Pool Lbs &amp; Component Lbs'!I141/'Pool Lbs &amp; Component Lbs'!N141</f>
        <v>8.9313532419962025E-2</v>
      </c>
      <c r="D25" s="95">
        <f>+'Pool Lbs &amp; Component Lbs'!J141/'Pool Lbs &amp; Component Lbs'!N141</f>
        <v>8.4920984259355542E-2</v>
      </c>
      <c r="E25" s="95">
        <f>+'Pool Lbs &amp; Component Lbs'!K141/'Pool Lbs &amp; Component Lbs'!N141</f>
        <v>8.168682448222564E-2</v>
      </c>
      <c r="F25" s="95">
        <f>+'Pool Lbs &amp; Component Lbs'!L141/'Pool Lbs &amp; Component Lbs'!N141</f>
        <v>0.35879163518745444</v>
      </c>
      <c r="G25" s="120">
        <f>+'Pool Lbs &amp; Component Lbs'!M141/'Pool Lbs &amp; Component Lbs'!N141</f>
        <v>0.38528702365100237</v>
      </c>
      <c r="H25" s="126">
        <f>+'Pool Lbs &amp; Component Lbs'!P141/'Pool Lbs &amp; Component Lbs'!$U141</f>
        <v>0.16302000427545299</v>
      </c>
      <c r="I25" s="96">
        <f>+'Pool Lbs &amp; Component Lbs'!Q141/'Pool Lbs &amp; Component Lbs'!$U141</f>
        <v>4.2517098243337548E-2</v>
      </c>
      <c r="J25" s="96">
        <f>+'Pool Lbs &amp; Component Lbs'!R141/'Pool Lbs &amp; Component Lbs'!$U141</f>
        <v>2.7087457199627192E-2</v>
      </c>
      <c r="K25" s="96">
        <f>+'Pool Lbs &amp; Component Lbs'!S141/'Pool Lbs &amp; Component Lbs'!$U141</f>
        <v>0.32428664898484855</v>
      </c>
      <c r="L25" s="97">
        <f>+'Pool Lbs &amp; Component Lbs'!T141/'Pool Lbs &amp; Component Lbs'!$U141</f>
        <v>0.44308879129673373</v>
      </c>
    </row>
    <row r="26" spans="1:12" x14ac:dyDescent="0.3">
      <c r="A26" s="79">
        <f>+'Pool Lbs &amp; Component Lbs'!A142</f>
        <v>2010</v>
      </c>
      <c r="B26" s="80" t="str">
        <f>+'Pool Lbs &amp; Component Lbs'!B142</f>
        <v>AUGUST</v>
      </c>
      <c r="C26" s="113">
        <f>+'Pool Lbs &amp; Component Lbs'!I142/'Pool Lbs &amp; Component Lbs'!N142</f>
        <v>9.3615088867846863E-2</v>
      </c>
      <c r="D26" s="95">
        <f>+'Pool Lbs &amp; Component Lbs'!J142/'Pool Lbs &amp; Component Lbs'!N142</f>
        <v>8.8372739576779186E-2</v>
      </c>
      <c r="E26" s="95">
        <f>+'Pool Lbs &amp; Component Lbs'!K142/'Pool Lbs &amp; Component Lbs'!N142</f>
        <v>9.7569567528802623E-2</v>
      </c>
      <c r="F26" s="95">
        <f>+'Pool Lbs &amp; Component Lbs'!L142/'Pool Lbs &amp; Component Lbs'!N142</f>
        <v>0.32641821448873881</v>
      </c>
      <c r="G26" s="120">
        <f>+'Pool Lbs &amp; Component Lbs'!M142/'Pool Lbs &amp; Component Lbs'!N142</f>
        <v>0.39402438953783253</v>
      </c>
      <c r="H26" s="126">
        <f>+'Pool Lbs &amp; Component Lbs'!P142/'Pool Lbs &amp; Component Lbs'!$U142</f>
        <v>0.17336729017088462</v>
      </c>
      <c r="I26" s="96">
        <f>+'Pool Lbs &amp; Component Lbs'!Q142/'Pool Lbs &amp; Component Lbs'!$U142</f>
        <v>4.3029280713569061E-2</v>
      </c>
      <c r="J26" s="96">
        <f>+'Pool Lbs &amp; Component Lbs'!R142/'Pool Lbs &amp; Component Lbs'!$U142</f>
        <v>2.8930229449087085E-2</v>
      </c>
      <c r="K26" s="96">
        <f>+'Pool Lbs &amp; Component Lbs'!S142/'Pool Lbs &amp; Component Lbs'!$U142</f>
        <v>0.30597199883724319</v>
      </c>
      <c r="L26" s="97">
        <f>+'Pool Lbs &amp; Component Lbs'!T142/'Pool Lbs &amp; Component Lbs'!$U142</f>
        <v>0.44870120082921605</v>
      </c>
    </row>
    <row r="27" spans="1:12" x14ac:dyDescent="0.3">
      <c r="A27" s="79">
        <f>+'Pool Lbs &amp; Component Lbs'!A143</f>
        <v>2010</v>
      </c>
      <c r="B27" s="80" t="str">
        <f>+'Pool Lbs &amp; Component Lbs'!B143</f>
        <v>SEPTEMBER</v>
      </c>
      <c r="C27" s="113">
        <f>+'Pool Lbs &amp; Component Lbs'!I143/'Pool Lbs &amp; Component Lbs'!N143</f>
        <v>9.4294959763017785E-2</v>
      </c>
      <c r="D27" s="95">
        <f>+'Pool Lbs &amp; Component Lbs'!J143/'Pool Lbs &amp; Component Lbs'!N143</f>
        <v>9.7031840817215359E-2</v>
      </c>
      <c r="E27" s="95">
        <f>+'Pool Lbs &amp; Component Lbs'!K143/'Pool Lbs &amp; Component Lbs'!N143</f>
        <v>8.4288970100121263E-2</v>
      </c>
      <c r="F27" s="95">
        <f>+'Pool Lbs &amp; Component Lbs'!L143/'Pool Lbs &amp; Component Lbs'!N143</f>
        <v>0.32928462727991403</v>
      </c>
      <c r="G27" s="120">
        <f>+'Pool Lbs &amp; Component Lbs'!M143/'Pool Lbs &amp; Component Lbs'!N143</f>
        <v>0.3950996020397316</v>
      </c>
      <c r="H27" s="126">
        <f>+'Pool Lbs &amp; Component Lbs'!P143/'Pool Lbs &amp; Component Lbs'!$U143</f>
        <v>0.18058247411200756</v>
      </c>
      <c r="I27" s="96">
        <f>+'Pool Lbs &amp; Component Lbs'!Q143/'Pool Lbs &amp; Component Lbs'!$U143</f>
        <v>4.5067212387154207E-2</v>
      </c>
      <c r="J27" s="96">
        <f>+'Pool Lbs &amp; Component Lbs'!R143/'Pool Lbs &amp; Component Lbs'!$U143</f>
        <v>2.5459719620765105E-2</v>
      </c>
      <c r="K27" s="96">
        <f>+'Pool Lbs &amp; Component Lbs'!S143/'Pool Lbs &amp; Component Lbs'!$U143</f>
        <v>0.2990876693319568</v>
      </c>
      <c r="L27" s="97">
        <f>+'Pool Lbs &amp; Component Lbs'!T143/'Pool Lbs &amp; Component Lbs'!$U143</f>
        <v>0.44980292454811632</v>
      </c>
    </row>
    <row r="28" spans="1:12" x14ac:dyDescent="0.3">
      <c r="A28" s="79">
        <f>+'Pool Lbs &amp; Component Lbs'!A144</f>
        <v>2010</v>
      </c>
      <c r="B28" s="80" t="str">
        <f>+'Pool Lbs &amp; Component Lbs'!B144</f>
        <v>OCTOBER</v>
      </c>
      <c r="C28" s="113">
        <f>+'Pool Lbs &amp; Component Lbs'!I144/'Pool Lbs &amp; Component Lbs'!N144</f>
        <v>9.2337379041986092E-2</v>
      </c>
      <c r="D28" s="95">
        <f>+'Pool Lbs &amp; Component Lbs'!J144/'Pool Lbs &amp; Component Lbs'!N144</f>
        <v>9.7297034419400769E-2</v>
      </c>
      <c r="E28" s="95">
        <f>+'Pool Lbs &amp; Component Lbs'!K144/'Pool Lbs &amp; Component Lbs'!N144</f>
        <v>6.0886641368800384E-2</v>
      </c>
      <c r="F28" s="95">
        <f>+'Pool Lbs &amp; Component Lbs'!L144/'Pool Lbs &amp; Component Lbs'!N144</f>
        <v>0.37301297275826678</v>
      </c>
      <c r="G28" s="120">
        <f>+'Pool Lbs &amp; Component Lbs'!M144/'Pool Lbs &amp; Component Lbs'!N144</f>
        <v>0.376465972411546</v>
      </c>
      <c r="H28" s="126">
        <f>+'Pool Lbs &amp; Component Lbs'!P144/'Pool Lbs &amp; Component Lbs'!$U144</f>
        <v>0.18186700257844385</v>
      </c>
      <c r="I28" s="96">
        <f>+'Pool Lbs &amp; Component Lbs'!Q144/'Pool Lbs &amp; Component Lbs'!$U144</f>
        <v>4.1308134650913243E-2</v>
      </c>
      <c r="J28" s="96">
        <f>+'Pool Lbs &amp; Component Lbs'!R144/'Pool Lbs &amp; Component Lbs'!$U144</f>
        <v>2.0681625520249113E-2</v>
      </c>
      <c r="K28" s="96">
        <f>+'Pool Lbs &amp; Component Lbs'!S144/'Pool Lbs &amp; Component Lbs'!$U144</f>
        <v>0.3147989803475314</v>
      </c>
      <c r="L28" s="97">
        <f>+'Pool Lbs &amp; Component Lbs'!T144/'Pool Lbs &amp; Component Lbs'!$U144</f>
        <v>0.44134425690286239</v>
      </c>
    </row>
    <row r="29" spans="1:12" x14ac:dyDescent="0.3">
      <c r="A29" s="79">
        <f>+'Pool Lbs &amp; Component Lbs'!A145</f>
        <v>2010</v>
      </c>
      <c r="B29" s="80" t="str">
        <f>+'Pool Lbs &amp; Component Lbs'!B145</f>
        <v>NOVEMBER</v>
      </c>
      <c r="C29" s="113">
        <f>+'Pool Lbs &amp; Component Lbs'!I145/'Pool Lbs &amp; Component Lbs'!N145</f>
        <v>9.2775649035002086E-2</v>
      </c>
      <c r="D29" s="95">
        <f>+'Pool Lbs &amp; Component Lbs'!J145/'Pool Lbs &amp; Component Lbs'!N145</f>
        <v>9.1919823242575263E-2</v>
      </c>
      <c r="E29" s="95">
        <f>+'Pool Lbs &amp; Component Lbs'!K145/'Pool Lbs &amp; Component Lbs'!N145</f>
        <v>4.3955758450754168E-2</v>
      </c>
      <c r="F29" s="95">
        <f>+'Pool Lbs &amp; Component Lbs'!L145/'Pool Lbs &amp; Component Lbs'!N145</f>
        <v>0.38642863750160628</v>
      </c>
      <c r="G29" s="120">
        <f>+'Pool Lbs &amp; Component Lbs'!M145/'Pool Lbs &amp; Component Lbs'!N145</f>
        <v>0.38492013177006223</v>
      </c>
      <c r="H29" s="126">
        <f>+'Pool Lbs &amp; Component Lbs'!P145/'Pool Lbs &amp; Component Lbs'!$U145</f>
        <v>0.17948052274584683</v>
      </c>
      <c r="I29" s="96">
        <f>+'Pool Lbs &amp; Component Lbs'!Q145/'Pool Lbs &amp; Component Lbs'!$U145</f>
        <v>4.338130374718184E-2</v>
      </c>
      <c r="J29" s="96">
        <f>+'Pool Lbs &amp; Component Lbs'!R145/'Pool Lbs &amp; Component Lbs'!$U145</f>
        <v>1.721198772826037E-2</v>
      </c>
      <c r="K29" s="96">
        <f>+'Pool Lbs &amp; Component Lbs'!S145/'Pool Lbs &amp; Component Lbs'!$U145</f>
        <v>0.31880948620723859</v>
      </c>
      <c r="L29" s="97">
        <f>+'Pool Lbs &amp; Component Lbs'!T145/'Pool Lbs &amp; Component Lbs'!$U145</f>
        <v>0.44111669957147237</v>
      </c>
    </row>
    <row r="30" spans="1:12" ht="15" thickBot="1" x14ac:dyDescent="0.35">
      <c r="A30" s="83">
        <f>+'Pool Lbs &amp; Component Lbs'!A146</f>
        <v>2010</v>
      </c>
      <c r="B30" s="84" t="str">
        <f>+'Pool Lbs &amp; Component Lbs'!B146</f>
        <v>DECEMBER</v>
      </c>
      <c r="C30" s="114">
        <f>+'Pool Lbs &amp; Component Lbs'!I146/'Pool Lbs &amp; Component Lbs'!N146</f>
        <v>9.1142153138504753E-2</v>
      </c>
      <c r="D30" s="98">
        <f>+'Pool Lbs &amp; Component Lbs'!J146/'Pool Lbs &amp; Component Lbs'!N146</f>
        <v>7.4740853694619178E-2</v>
      </c>
      <c r="E30" s="98">
        <f>+'Pool Lbs &amp; Component Lbs'!K146/'Pool Lbs &amp; Component Lbs'!N146</f>
        <v>3.7336228097836793E-2</v>
      </c>
      <c r="F30" s="98">
        <f>+'Pool Lbs &amp; Component Lbs'!L146/'Pool Lbs &amp; Component Lbs'!N146</f>
        <v>0.42884638811701797</v>
      </c>
      <c r="G30" s="121">
        <f>+'Pool Lbs &amp; Component Lbs'!M146/'Pool Lbs &amp; Component Lbs'!N146</f>
        <v>0.3679343769520213</v>
      </c>
      <c r="H30" s="127">
        <f>+'Pool Lbs &amp; Component Lbs'!P146/'Pool Lbs &amp; Component Lbs'!$U146</f>
        <v>0.1773137782263951</v>
      </c>
      <c r="I30" s="99">
        <f>+'Pool Lbs &amp; Component Lbs'!Q146/'Pool Lbs &amp; Component Lbs'!$U146</f>
        <v>3.9784383725773455E-2</v>
      </c>
      <c r="J30" s="99">
        <f>+'Pool Lbs &amp; Component Lbs'!R146/'Pool Lbs &amp; Component Lbs'!$U146</f>
        <v>1.3978727945432362E-2</v>
      </c>
      <c r="K30" s="99">
        <f>+'Pool Lbs &amp; Component Lbs'!S146/'Pool Lbs &amp; Component Lbs'!$U146</f>
        <v>0.33880304724931443</v>
      </c>
      <c r="L30" s="100">
        <f>+'Pool Lbs &amp; Component Lbs'!T146/'Pool Lbs &amp; Component Lbs'!$U146</f>
        <v>0.43012006285308463</v>
      </c>
    </row>
    <row r="31" spans="1:12" ht="15" thickTop="1" x14ac:dyDescent="0.3">
      <c r="A31" s="87">
        <f>+'Pool Lbs &amp; Component Lbs'!A148</f>
        <v>2011</v>
      </c>
      <c r="B31" s="88" t="str">
        <f>+'Pool Lbs &amp; Component Lbs'!B148</f>
        <v>JANUARY</v>
      </c>
      <c r="C31" s="115">
        <f>+'Pool Lbs &amp; Component Lbs'!I148/'Pool Lbs &amp; Component Lbs'!N148</f>
        <v>8.123252104860354E-2</v>
      </c>
      <c r="D31" s="101">
        <f>+'Pool Lbs &amp; Component Lbs'!J148/'Pool Lbs &amp; Component Lbs'!N148</f>
        <v>5.8399679148537727E-2</v>
      </c>
      <c r="E31" s="101">
        <f>+'Pool Lbs &amp; Component Lbs'!K148/'Pool Lbs &amp; Component Lbs'!N148</f>
        <v>4.8578975984660905E-2</v>
      </c>
      <c r="F31" s="101">
        <f>+'Pool Lbs &amp; Component Lbs'!L148/'Pool Lbs &amp; Component Lbs'!N148</f>
        <v>0.42062602925892906</v>
      </c>
      <c r="G31" s="122">
        <f>+'Pool Lbs &amp; Component Lbs'!M148/'Pool Lbs &amp; Component Lbs'!N148</f>
        <v>0.39116279455926878</v>
      </c>
      <c r="H31" s="128">
        <f>+'Pool Lbs &amp; Component Lbs'!P148/'Pool Lbs &amp; Component Lbs'!$U148</f>
        <v>0.16942400752056616</v>
      </c>
      <c r="I31" s="102">
        <f>+'Pool Lbs &amp; Component Lbs'!Q148/'Pool Lbs &amp; Component Lbs'!$U148</f>
        <v>3.7867124845190399E-2</v>
      </c>
      <c r="J31" s="102">
        <f>+'Pool Lbs &amp; Component Lbs'!R148/'Pool Lbs &amp; Component Lbs'!$U148</f>
        <v>1.9841963244696413E-2</v>
      </c>
      <c r="K31" s="102">
        <f>+'Pool Lbs &amp; Component Lbs'!S148/'Pool Lbs &amp; Component Lbs'!$U148</f>
        <v>0.31939954210161775</v>
      </c>
      <c r="L31" s="103">
        <f>+'Pool Lbs &amp; Component Lbs'!T148/'Pool Lbs &amp; Component Lbs'!$U148</f>
        <v>0.45346736228792928</v>
      </c>
    </row>
    <row r="32" spans="1:12" x14ac:dyDescent="0.3">
      <c r="A32" s="79">
        <f>+'Pool Lbs &amp; Component Lbs'!A149</f>
        <v>2011</v>
      </c>
      <c r="B32" s="80" t="str">
        <f>+'Pool Lbs &amp; Component Lbs'!B149</f>
        <v>FEBRUARY</v>
      </c>
      <c r="C32" s="113">
        <f>+'Pool Lbs &amp; Component Lbs'!I149/'Pool Lbs &amp; Component Lbs'!N149</f>
        <v>7.9634702007712305E-2</v>
      </c>
      <c r="D32" s="95">
        <f>+'Pool Lbs &amp; Component Lbs'!J149/'Pool Lbs &amp; Component Lbs'!N149</f>
        <v>7.2938436944600976E-2</v>
      </c>
      <c r="E32" s="95">
        <f>+'Pool Lbs &amp; Component Lbs'!K149/'Pool Lbs &amp; Component Lbs'!N149</f>
        <v>6.2457473194400127E-2</v>
      </c>
      <c r="F32" s="95">
        <f>+'Pool Lbs &amp; Component Lbs'!L149/'Pool Lbs &amp; Component Lbs'!N149</f>
        <v>0.40844017955841361</v>
      </c>
      <c r="G32" s="120">
        <f>+'Pool Lbs &amp; Component Lbs'!M149/'Pool Lbs &amp; Component Lbs'!N149</f>
        <v>0.37652920829487296</v>
      </c>
      <c r="H32" s="126">
        <f>+'Pool Lbs &amp; Component Lbs'!P149/'Pool Lbs &amp; Component Lbs'!$U149</f>
        <v>0.16253691449151395</v>
      </c>
      <c r="I32" s="96">
        <f>+'Pool Lbs &amp; Component Lbs'!Q149/'Pool Lbs &amp; Component Lbs'!$U149</f>
        <v>3.913970851042161E-2</v>
      </c>
      <c r="J32" s="96">
        <f>+'Pool Lbs &amp; Component Lbs'!R149/'Pool Lbs &amp; Component Lbs'!$U149</f>
        <v>2.3931712557899193E-2</v>
      </c>
      <c r="K32" s="96">
        <f>+'Pool Lbs &amp; Component Lbs'!S149/'Pool Lbs &amp; Component Lbs'!$U149</f>
        <v>0.32633655399159883</v>
      </c>
      <c r="L32" s="97">
        <f>+'Pool Lbs &amp; Component Lbs'!T149/'Pool Lbs &amp; Component Lbs'!$U149</f>
        <v>0.44805511044856644</v>
      </c>
    </row>
    <row r="33" spans="1:12" x14ac:dyDescent="0.3">
      <c r="A33" s="79">
        <f>+'Pool Lbs &amp; Component Lbs'!A150</f>
        <v>2011</v>
      </c>
      <c r="B33" s="80" t="str">
        <f>+'Pool Lbs &amp; Component Lbs'!B150</f>
        <v>MARCH</v>
      </c>
      <c r="C33" s="113">
        <f>+'Pool Lbs &amp; Component Lbs'!I150/'Pool Lbs &amp; Component Lbs'!N150</f>
        <v>7.8801586979802246E-2</v>
      </c>
      <c r="D33" s="95">
        <f>+'Pool Lbs &amp; Component Lbs'!J150/'Pool Lbs &amp; Component Lbs'!N150</f>
        <v>7.6791637363017154E-2</v>
      </c>
      <c r="E33" s="95">
        <f>+'Pool Lbs &amp; Component Lbs'!K150/'Pool Lbs &amp; Component Lbs'!N150</f>
        <v>7.6099327443651679E-2</v>
      </c>
      <c r="F33" s="95">
        <f>+'Pool Lbs &amp; Component Lbs'!L150/'Pool Lbs &amp; Component Lbs'!N150</f>
        <v>0.39423552090667036</v>
      </c>
      <c r="G33" s="120">
        <f>+'Pool Lbs &amp; Component Lbs'!M150/'Pool Lbs &amp; Component Lbs'!N150</f>
        <v>0.37407192730685856</v>
      </c>
      <c r="H33" s="126">
        <f>+'Pool Lbs &amp; Component Lbs'!P150/'Pool Lbs &amp; Component Lbs'!$U150</f>
        <v>0.16411788205730116</v>
      </c>
      <c r="I33" s="96">
        <f>+'Pool Lbs &amp; Component Lbs'!Q150/'Pool Lbs &amp; Component Lbs'!$U150</f>
        <v>3.7624430266444596E-2</v>
      </c>
      <c r="J33" s="96">
        <f>+'Pool Lbs &amp; Component Lbs'!R150/'Pool Lbs &amp; Component Lbs'!$U150</f>
        <v>2.6897208151030499E-2</v>
      </c>
      <c r="K33" s="96">
        <f>+'Pool Lbs &amp; Component Lbs'!S150/'Pool Lbs &amp; Component Lbs'!$U150</f>
        <v>0.33376663639958393</v>
      </c>
      <c r="L33" s="97">
        <f>+'Pool Lbs &amp; Component Lbs'!T150/'Pool Lbs &amp; Component Lbs'!$U150</f>
        <v>0.43759384312563981</v>
      </c>
    </row>
    <row r="34" spans="1:12" x14ac:dyDescent="0.3">
      <c r="A34" s="79">
        <f>+'Pool Lbs &amp; Component Lbs'!A151</f>
        <v>2011</v>
      </c>
      <c r="B34" s="80" t="str">
        <f>+'Pool Lbs &amp; Component Lbs'!B151</f>
        <v>APRIL</v>
      </c>
      <c r="C34" s="113">
        <f>+'Pool Lbs &amp; Component Lbs'!I151/'Pool Lbs &amp; Component Lbs'!N151</f>
        <v>7.312913820990527E-2</v>
      </c>
      <c r="D34" s="95">
        <f>+'Pool Lbs &amp; Component Lbs'!J151/'Pool Lbs &amp; Component Lbs'!N151</f>
        <v>6.2070939211493821E-2</v>
      </c>
      <c r="E34" s="95">
        <f>+'Pool Lbs &amp; Component Lbs'!K151/'Pool Lbs &amp; Component Lbs'!N151</f>
        <v>6.0804713584043116E-2</v>
      </c>
      <c r="F34" s="95">
        <f>+'Pool Lbs &amp; Component Lbs'!L151/'Pool Lbs &amp; Component Lbs'!N151</f>
        <v>0.42236796110016567</v>
      </c>
      <c r="G34" s="120">
        <f>+'Pool Lbs &amp; Component Lbs'!M151/'Pool Lbs &amp; Component Lbs'!N151</f>
        <v>0.38162724789439212</v>
      </c>
      <c r="H34" s="126">
        <f>+'Pool Lbs &amp; Component Lbs'!P151/'Pool Lbs &amp; Component Lbs'!$U151</f>
        <v>0.14871738950569191</v>
      </c>
      <c r="I34" s="96">
        <f>+'Pool Lbs &amp; Component Lbs'!Q151/'Pool Lbs &amp; Component Lbs'!$U151</f>
        <v>3.7064997343558705E-2</v>
      </c>
      <c r="J34" s="96">
        <f>+'Pool Lbs &amp; Component Lbs'!R151/'Pool Lbs &amp; Component Lbs'!$U151</f>
        <v>2.3573803498942673E-2</v>
      </c>
      <c r="K34" s="96">
        <f>+'Pool Lbs &amp; Component Lbs'!S151/'Pool Lbs &amp; Component Lbs'!$U151</f>
        <v>0.34830518037551372</v>
      </c>
      <c r="L34" s="97">
        <f>+'Pool Lbs &amp; Component Lbs'!T151/'Pool Lbs &amp; Component Lbs'!$U151</f>
        <v>0.44233862927629297</v>
      </c>
    </row>
    <row r="35" spans="1:12" x14ac:dyDescent="0.3">
      <c r="A35" s="79">
        <f>+'Pool Lbs &amp; Component Lbs'!A152</f>
        <v>2011</v>
      </c>
      <c r="B35" s="80" t="str">
        <f>+'Pool Lbs &amp; Component Lbs'!B152</f>
        <v>MAY</v>
      </c>
      <c r="C35" s="113">
        <f>+'Pool Lbs &amp; Component Lbs'!I152/'Pool Lbs &amp; Component Lbs'!N152</f>
        <v>7.6129490021015184E-2</v>
      </c>
      <c r="D35" s="95">
        <f>+'Pool Lbs &amp; Component Lbs'!J152/'Pool Lbs &amp; Component Lbs'!N152</f>
        <v>7.0944865668652282E-2</v>
      </c>
      <c r="E35" s="95">
        <f>+'Pool Lbs &amp; Component Lbs'!K152/'Pool Lbs &amp; Component Lbs'!N152</f>
        <v>5.9020194692860142E-2</v>
      </c>
      <c r="F35" s="95">
        <f>+'Pool Lbs &amp; Component Lbs'!L152/'Pool Lbs &amp; Component Lbs'!N152</f>
        <v>0.41282766920313396</v>
      </c>
      <c r="G35" s="120">
        <f>+'Pool Lbs &amp; Component Lbs'!M152/'Pool Lbs &amp; Component Lbs'!N152</f>
        <v>0.38107778041433837</v>
      </c>
      <c r="H35" s="126">
        <f>+'Pool Lbs &amp; Component Lbs'!P152/'Pool Lbs &amp; Component Lbs'!$U152</f>
        <v>0.15304608476192716</v>
      </c>
      <c r="I35" s="96">
        <f>+'Pool Lbs &amp; Component Lbs'!Q152/'Pool Lbs &amp; Component Lbs'!$U152</f>
        <v>3.7696981325782815E-2</v>
      </c>
      <c r="J35" s="96">
        <f>+'Pool Lbs &amp; Component Lbs'!R152/'Pool Lbs &amp; Component Lbs'!$U152</f>
        <v>2.4013971505923496E-2</v>
      </c>
      <c r="K35" s="96">
        <f>+'Pool Lbs &amp; Component Lbs'!S152/'Pool Lbs &amp; Component Lbs'!$U152</f>
        <v>0.3400084804829771</v>
      </c>
      <c r="L35" s="97">
        <f>+'Pool Lbs &amp; Component Lbs'!T152/'Pool Lbs &amp; Component Lbs'!$U152</f>
        <v>0.44523448192338944</v>
      </c>
    </row>
    <row r="36" spans="1:12" x14ac:dyDescent="0.3">
      <c r="A36" s="79">
        <f>+'Pool Lbs &amp; Component Lbs'!A153</f>
        <v>2011</v>
      </c>
      <c r="B36" s="80" t="str">
        <f>+'Pool Lbs &amp; Component Lbs'!B153</f>
        <v>JUNE</v>
      </c>
      <c r="C36" s="113">
        <f>+'Pool Lbs &amp; Component Lbs'!I153/'Pool Lbs &amp; Component Lbs'!N153</f>
        <v>7.5834323705567613E-2</v>
      </c>
      <c r="D36" s="95">
        <f>+'Pool Lbs &amp; Component Lbs'!J153/'Pool Lbs &amp; Component Lbs'!N153</f>
        <v>8.1835798362053971E-2</v>
      </c>
      <c r="E36" s="95">
        <f>+'Pool Lbs &amp; Component Lbs'!K153/'Pool Lbs &amp; Component Lbs'!N153</f>
        <v>8.292110135499571E-2</v>
      </c>
      <c r="F36" s="95">
        <f>+'Pool Lbs &amp; Component Lbs'!L153/'Pool Lbs &amp; Component Lbs'!N153</f>
        <v>0.37905291479326797</v>
      </c>
      <c r="G36" s="120">
        <f>+'Pool Lbs &amp; Component Lbs'!M153/'Pool Lbs &amp; Component Lbs'!N153</f>
        <v>0.38035586178411473</v>
      </c>
      <c r="H36" s="126">
        <f>+'Pool Lbs &amp; Component Lbs'!P153/'Pool Lbs &amp; Component Lbs'!$U153</f>
        <v>0.14678680076658054</v>
      </c>
      <c r="I36" s="96">
        <f>+'Pool Lbs &amp; Component Lbs'!Q153/'Pool Lbs &amp; Component Lbs'!$U153</f>
        <v>4.1491527956556001E-2</v>
      </c>
      <c r="J36" s="96">
        <f>+'Pool Lbs &amp; Component Lbs'!R153/'Pool Lbs &amp; Component Lbs'!$U153</f>
        <v>2.7266574666452829E-2</v>
      </c>
      <c r="K36" s="96">
        <f>+'Pool Lbs &amp; Component Lbs'!S153/'Pool Lbs &amp; Component Lbs'!$U153</f>
        <v>0.34426302355919258</v>
      </c>
      <c r="L36" s="97">
        <f>+'Pool Lbs &amp; Component Lbs'!T153/'Pool Lbs &amp; Component Lbs'!$U153</f>
        <v>0.4401920730512181</v>
      </c>
    </row>
    <row r="37" spans="1:12" x14ac:dyDescent="0.3">
      <c r="A37" s="79">
        <f>+'Pool Lbs &amp; Component Lbs'!A154</f>
        <v>2011</v>
      </c>
      <c r="B37" s="80" t="str">
        <f>+'Pool Lbs &amp; Component Lbs'!B154</f>
        <v>JULY</v>
      </c>
      <c r="C37" s="113">
        <f>+'Pool Lbs &amp; Component Lbs'!I154/'Pool Lbs &amp; Component Lbs'!N154</f>
        <v>7.6087990800234678E-2</v>
      </c>
      <c r="D37" s="95">
        <f>+'Pool Lbs &amp; Component Lbs'!J154/'Pool Lbs &amp; Component Lbs'!N154</f>
        <v>7.6337627471562405E-2</v>
      </c>
      <c r="E37" s="95">
        <f>+'Pool Lbs &amp; Component Lbs'!K154/'Pool Lbs &amp; Component Lbs'!N154</f>
        <v>7.8430709507287047E-2</v>
      </c>
      <c r="F37" s="95">
        <f>+'Pool Lbs &amp; Component Lbs'!L154/'Pool Lbs &amp; Component Lbs'!N154</f>
        <v>0.38200387475071573</v>
      </c>
      <c r="G37" s="120">
        <f>+'Pool Lbs &amp; Component Lbs'!M154/'Pool Lbs &amp; Component Lbs'!N154</f>
        <v>0.38713979747020011</v>
      </c>
      <c r="H37" s="126">
        <f>+'Pool Lbs &amp; Component Lbs'!P154/'Pool Lbs &amp; Component Lbs'!$U154</f>
        <v>0.14170325223762623</v>
      </c>
      <c r="I37" s="96">
        <f>+'Pool Lbs &amp; Component Lbs'!Q154/'Pool Lbs &amp; Component Lbs'!$U154</f>
        <v>4.0585415208406299E-2</v>
      </c>
      <c r="J37" s="96">
        <f>+'Pool Lbs &amp; Component Lbs'!R154/'Pool Lbs &amp; Component Lbs'!$U154</f>
        <v>2.6291827967776335E-2</v>
      </c>
      <c r="K37" s="96">
        <f>+'Pool Lbs &amp; Component Lbs'!S154/'Pool Lbs &amp; Component Lbs'!$U154</f>
        <v>0.34350295722383467</v>
      </c>
      <c r="L37" s="97">
        <f>+'Pool Lbs &amp; Component Lbs'!T154/'Pool Lbs &amp; Component Lbs'!$U154</f>
        <v>0.44791654736235648</v>
      </c>
    </row>
    <row r="38" spans="1:12" x14ac:dyDescent="0.3">
      <c r="A38" s="79">
        <f>+'Pool Lbs &amp; Component Lbs'!A155</f>
        <v>2011</v>
      </c>
      <c r="B38" s="80" t="str">
        <f>+'Pool Lbs &amp; Component Lbs'!B155</f>
        <v>AUGUST</v>
      </c>
      <c r="C38" s="113">
        <f>+'Pool Lbs &amp; Component Lbs'!I155/'Pool Lbs &amp; Component Lbs'!N155</f>
        <v>8.3686255354440603E-2</v>
      </c>
      <c r="D38" s="95">
        <f>+'Pool Lbs &amp; Component Lbs'!J155/'Pool Lbs &amp; Component Lbs'!N155</f>
        <v>7.2198471845149076E-2</v>
      </c>
      <c r="E38" s="95">
        <f>+'Pool Lbs &amp; Component Lbs'!K155/'Pool Lbs &amp; Component Lbs'!N155</f>
        <v>7.9762768591205915E-2</v>
      </c>
      <c r="F38" s="95">
        <f>+'Pool Lbs &amp; Component Lbs'!L155/'Pool Lbs &amp; Component Lbs'!N155</f>
        <v>0.36571455952294207</v>
      </c>
      <c r="G38" s="120">
        <f>+'Pool Lbs &amp; Component Lbs'!M155/'Pool Lbs &amp; Component Lbs'!N155</f>
        <v>0.39863794468626235</v>
      </c>
      <c r="H38" s="126">
        <f>+'Pool Lbs &amp; Component Lbs'!P155/'Pool Lbs &amp; Component Lbs'!$U155</f>
        <v>0.15933930939036459</v>
      </c>
      <c r="I38" s="96">
        <f>+'Pool Lbs &amp; Component Lbs'!Q155/'Pool Lbs &amp; Component Lbs'!$U155</f>
        <v>4.1471541512195474E-2</v>
      </c>
      <c r="J38" s="96">
        <f>+'Pool Lbs &amp; Component Lbs'!R155/'Pool Lbs &amp; Component Lbs'!$U155</f>
        <v>2.680905965019733E-2</v>
      </c>
      <c r="K38" s="96">
        <f>+'Pool Lbs &amp; Component Lbs'!S155/'Pool Lbs &amp; Component Lbs'!$U155</f>
        <v>0.31336806770725795</v>
      </c>
      <c r="L38" s="97">
        <f>+'Pool Lbs &amp; Component Lbs'!T155/'Pool Lbs &amp; Component Lbs'!$U155</f>
        <v>0.45901202173998468</v>
      </c>
    </row>
    <row r="39" spans="1:12" x14ac:dyDescent="0.3">
      <c r="A39" s="79">
        <f>+'Pool Lbs &amp; Component Lbs'!A156</f>
        <v>2011</v>
      </c>
      <c r="B39" s="80" t="str">
        <f>+'Pool Lbs &amp; Component Lbs'!B156</f>
        <v>SEPTEMBER</v>
      </c>
      <c r="C39" s="113">
        <f>+'Pool Lbs &amp; Component Lbs'!I156/'Pool Lbs &amp; Component Lbs'!N156</f>
        <v>8.4717107114050741E-2</v>
      </c>
      <c r="D39" s="95">
        <f>+'Pool Lbs &amp; Component Lbs'!J156/'Pool Lbs &amp; Component Lbs'!N156</f>
        <v>7.1564842697627487E-2</v>
      </c>
      <c r="E39" s="95">
        <f>+'Pool Lbs &amp; Component Lbs'!K156/'Pool Lbs &amp; Component Lbs'!N156</f>
        <v>6.468069317014026E-2</v>
      </c>
      <c r="F39" s="95">
        <f>+'Pool Lbs &amp; Component Lbs'!L156/'Pool Lbs &amp; Component Lbs'!N156</f>
        <v>0.38134981726551986</v>
      </c>
      <c r="G39" s="120">
        <f>+'Pool Lbs &amp; Component Lbs'!M156/'Pool Lbs &amp; Component Lbs'!N156</f>
        <v>0.39768753975266163</v>
      </c>
      <c r="H39" s="126">
        <f>+'Pool Lbs &amp; Component Lbs'!P156/'Pool Lbs &amp; Component Lbs'!$U156</f>
        <v>0.16789036969963872</v>
      </c>
      <c r="I39" s="96">
        <f>+'Pool Lbs &amp; Component Lbs'!Q156/'Pool Lbs &amp; Component Lbs'!$U156</f>
        <v>4.1032561738270926E-2</v>
      </c>
      <c r="J39" s="96">
        <f>+'Pool Lbs &amp; Component Lbs'!R156/'Pool Lbs &amp; Component Lbs'!$U156</f>
        <v>2.2314898947689187E-2</v>
      </c>
      <c r="K39" s="96">
        <f>+'Pool Lbs &amp; Component Lbs'!S156/'Pool Lbs &amp; Component Lbs'!$U156</f>
        <v>0.30633129221774213</v>
      </c>
      <c r="L39" s="97">
        <f>+'Pool Lbs &amp; Component Lbs'!T156/'Pool Lbs &amp; Component Lbs'!$U156</f>
        <v>0.462430877396659</v>
      </c>
    </row>
    <row r="40" spans="1:12" x14ac:dyDescent="0.3">
      <c r="A40" s="79">
        <f>+'Pool Lbs &amp; Component Lbs'!A157</f>
        <v>2011</v>
      </c>
      <c r="B40" s="80" t="str">
        <f>+'Pool Lbs &amp; Component Lbs'!B157</f>
        <v>OCTOBER</v>
      </c>
      <c r="C40" s="113">
        <f>+'Pool Lbs &amp; Component Lbs'!I157/'Pool Lbs &amp; Component Lbs'!N157</f>
        <v>8.2040716311810147E-2</v>
      </c>
      <c r="D40" s="95">
        <f>+'Pool Lbs &amp; Component Lbs'!J157/'Pool Lbs &amp; Component Lbs'!N157</f>
        <v>7.7591100026766738E-2</v>
      </c>
      <c r="E40" s="95">
        <f>+'Pool Lbs &amp; Component Lbs'!K157/'Pool Lbs &amp; Component Lbs'!N157</f>
        <v>5.7216764746243653E-2</v>
      </c>
      <c r="F40" s="95">
        <f>+'Pool Lbs &amp; Component Lbs'!L157/'Pool Lbs &amp; Component Lbs'!N157</f>
        <v>0.38842243065489646</v>
      </c>
      <c r="G40" s="120">
        <f>+'Pool Lbs &amp; Component Lbs'!M157/'Pool Lbs &amp; Component Lbs'!N157</f>
        <v>0.39472898826028302</v>
      </c>
      <c r="H40" s="126">
        <f>+'Pool Lbs &amp; Component Lbs'!P157/'Pool Lbs &amp; Component Lbs'!$U157</f>
        <v>0.16617125522831208</v>
      </c>
      <c r="I40" s="96">
        <f>+'Pool Lbs &amp; Component Lbs'!Q157/'Pool Lbs &amp; Component Lbs'!$U157</f>
        <v>4.1856767733255515E-2</v>
      </c>
      <c r="J40" s="96">
        <f>+'Pool Lbs &amp; Component Lbs'!R157/'Pool Lbs &amp; Component Lbs'!$U157</f>
        <v>2.122206133215522E-2</v>
      </c>
      <c r="K40" s="96">
        <f>+'Pool Lbs &amp; Component Lbs'!S157/'Pool Lbs &amp; Component Lbs'!$U157</f>
        <v>0.30497320487277568</v>
      </c>
      <c r="L40" s="97">
        <f>+'Pool Lbs &amp; Component Lbs'!T157/'Pool Lbs &amp; Component Lbs'!$U157</f>
        <v>0.46577671083350153</v>
      </c>
    </row>
    <row r="41" spans="1:12" x14ac:dyDescent="0.3">
      <c r="A41" s="79">
        <f>+'Pool Lbs &amp; Component Lbs'!A158</f>
        <v>2011</v>
      </c>
      <c r="B41" s="80" t="str">
        <f>+'Pool Lbs &amp; Component Lbs'!B158</f>
        <v>NOVEMBER</v>
      </c>
      <c r="C41" s="113">
        <f>+'Pool Lbs &amp; Component Lbs'!I158/'Pool Lbs &amp; Component Lbs'!N158</f>
        <v>8.2162953229052732E-2</v>
      </c>
      <c r="D41" s="95">
        <f>+'Pool Lbs &amp; Component Lbs'!J158/'Pool Lbs &amp; Component Lbs'!N158</f>
        <v>8.3583020530936053E-2</v>
      </c>
      <c r="E41" s="95">
        <f>+'Pool Lbs &amp; Component Lbs'!K158/'Pool Lbs &amp; Component Lbs'!N158</f>
        <v>4.6596877046971109E-2</v>
      </c>
      <c r="F41" s="95">
        <f>+'Pool Lbs &amp; Component Lbs'!L158/'Pool Lbs &amp; Component Lbs'!N158</f>
        <v>0.40567768654870628</v>
      </c>
      <c r="G41" s="120">
        <f>+'Pool Lbs &amp; Component Lbs'!M158/'Pool Lbs &amp; Component Lbs'!N158</f>
        <v>0.38197946264433386</v>
      </c>
      <c r="H41" s="126">
        <f>+'Pool Lbs &amp; Component Lbs'!P158/'Pool Lbs &amp; Component Lbs'!$U158</f>
        <v>0.16770453894561316</v>
      </c>
      <c r="I41" s="96">
        <f>+'Pool Lbs &amp; Component Lbs'!Q158/'Pool Lbs &amp; Component Lbs'!$U158</f>
        <v>4.087670632104131E-2</v>
      </c>
      <c r="J41" s="96">
        <f>+'Pool Lbs &amp; Component Lbs'!R158/'Pool Lbs &amp; Component Lbs'!$U158</f>
        <v>1.8470588371541891E-2</v>
      </c>
      <c r="K41" s="96">
        <f>+'Pool Lbs &amp; Component Lbs'!S158/'Pool Lbs &amp; Component Lbs'!$U158</f>
        <v>0.32147819920461346</v>
      </c>
      <c r="L41" s="97">
        <f>+'Pool Lbs &amp; Component Lbs'!T158/'Pool Lbs &amp; Component Lbs'!$U158</f>
        <v>0.45146996715719018</v>
      </c>
    </row>
    <row r="42" spans="1:12" ht="15" thickBot="1" x14ac:dyDescent="0.35">
      <c r="A42" s="89">
        <f>+'Pool Lbs &amp; Component Lbs'!A159</f>
        <v>2011</v>
      </c>
      <c r="B42" s="90" t="str">
        <f>+'Pool Lbs &amp; Component Lbs'!B159</f>
        <v>DECEMBER</v>
      </c>
      <c r="C42" s="116">
        <f>+'Pool Lbs &amp; Component Lbs'!I159/'Pool Lbs &amp; Component Lbs'!N159</f>
        <v>7.7979763413032768E-2</v>
      </c>
      <c r="D42" s="104">
        <f>+'Pool Lbs &amp; Component Lbs'!J159/'Pool Lbs &amp; Component Lbs'!N159</f>
        <v>7.0094593729059476E-2</v>
      </c>
      <c r="E42" s="104">
        <f>+'Pool Lbs &amp; Component Lbs'!K159/'Pool Lbs &amp; Component Lbs'!N159</f>
        <v>3.2845153492783323E-2</v>
      </c>
      <c r="F42" s="104">
        <f>+'Pool Lbs &amp; Component Lbs'!L159/'Pool Lbs &amp; Component Lbs'!N159</f>
        <v>0.43688187908710757</v>
      </c>
      <c r="G42" s="123">
        <f>+'Pool Lbs &amp; Component Lbs'!M159/'Pool Lbs &amp; Component Lbs'!N159</f>
        <v>0.38219861027801688</v>
      </c>
      <c r="H42" s="129">
        <f>+'Pool Lbs &amp; Component Lbs'!P159/'Pool Lbs &amp; Component Lbs'!$U159</f>
        <v>0.15607677271218895</v>
      </c>
      <c r="I42" s="105">
        <f>+'Pool Lbs &amp; Component Lbs'!Q159/'Pool Lbs &amp; Component Lbs'!$U159</f>
        <v>3.7076906460775758E-2</v>
      </c>
      <c r="J42" s="105">
        <f>+'Pool Lbs &amp; Component Lbs'!R159/'Pool Lbs &amp; Component Lbs'!$U159</f>
        <v>1.4694219677405479E-2</v>
      </c>
      <c r="K42" s="105">
        <f>+'Pool Lbs &amp; Component Lbs'!S159/'Pool Lbs &amp; Component Lbs'!$U159</f>
        <v>0.34316484681779735</v>
      </c>
      <c r="L42" s="106">
        <f>+'Pool Lbs &amp; Component Lbs'!T159/'Pool Lbs &amp; Component Lbs'!$U159</f>
        <v>0.44898725433183245</v>
      </c>
    </row>
    <row r="43" spans="1:12" ht="15" thickTop="1" x14ac:dyDescent="0.3">
      <c r="A43" s="85">
        <f>+'Pool Lbs &amp; Component Lbs'!A161</f>
        <v>2012</v>
      </c>
      <c r="B43" s="86" t="str">
        <f>+'Pool Lbs &amp; Component Lbs'!B161</f>
        <v>JANUARY</v>
      </c>
      <c r="C43" s="112">
        <f>+'Pool Lbs &amp; Component Lbs'!I161/'Pool Lbs &amp; Component Lbs'!N161</f>
        <v>7.555852511153073E-2</v>
      </c>
      <c r="D43" s="91">
        <f>+'Pool Lbs &amp; Component Lbs'!J161/'Pool Lbs &amp; Component Lbs'!N161</f>
        <v>5.7929052683768002E-2</v>
      </c>
      <c r="E43" s="91">
        <f>+'Pool Lbs &amp; Component Lbs'!K161/'Pool Lbs &amp; Component Lbs'!N161</f>
        <v>4.2352081319469902E-2</v>
      </c>
      <c r="F43" s="91">
        <f>+'Pool Lbs &amp; Component Lbs'!L161/'Pool Lbs &amp; Component Lbs'!N161</f>
        <v>0.44512415450151682</v>
      </c>
      <c r="G43" s="119">
        <f>+'Pool Lbs &amp; Component Lbs'!M161/'Pool Lbs &amp; Component Lbs'!N161</f>
        <v>0.37903618638371456</v>
      </c>
      <c r="H43" s="125">
        <f>+'Pool Lbs &amp; Component Lbs'!P161/'Pool Lbs &amp; Component Lbs'!$U161</f>
        <v>0.15601003961728238</v>
      </c>
      <c r="I43" s="92">
        <f>+'Pool Lbs &amp; Component Lbs'!Q161/'Pool Lbs &amp; Component Lbs'!$U161</f>
        <v>3.9360151073727041E-2</v>
      </c>
      <c r="J43" s="92">
        <f>+'Pool Lbs &amp; Component Lbs'!R161/'Pool Lbs &amp; Component Lbs'!$U161</f>
        <v>1.8590729664806575E-2</v>
      </c>
      <c r="K43" s="92">
        <f>+'Pool Lbs &amp; Component Lbs'!S161/'Pool Lbs &amp; Component Lbs'!$U161</f>
        <v>0.34518830541892198</v>
      </c>
      <c r="L43" s="93">
        <f>+'Pool Lbs &amp; Component Lbs'!T161/'Pool Lbs &amp; Component Lbs'!$U161</f>
        <v>0.44085077422526203</v>
      </c>
    </row>
    <row r="44" spans="1:12" x14ac:dyDescent="0.3">
      <c r="A44" s="79">
        <f>+'Pool Lbs &amp; Component Lbs'!A162</f>
        <v>2012</v>
      </c>
      <c r="B44" s="80" t="str">
        <f>+'Pool Lbs &amp; Component Lbs'!B162</f>
        <v>FEBRUARY</v>
      </c>
      <c r="C44" s="113">
        <f>+'Pool Lbs &amp; Component Lbs'!I162/'Pool Lbs &amp; Component Lbs'!N162</f>
        <v>7.2251487375012066E-2</v>
      </c>
      <c r="D44" s="95">
        <f>+'Pool Lbs &amp; Component Lbs'!J162/'Pool Lbs &amp; Component Lbs'!N162</f>
        <v>6.1538008571992805E-2</v>
      </c>
      <c r="E44" s="95">
        <f>+'Pool Lbs &amp; Component Lbs'!K162/'Pool Lbs &amp; Component Lbs'!N162</f>
        <v>4.8216656298441858E-2</v>
      </c>
      <c r="F44" s="95">
        <f>+'Pool Lbs &amp; Component Lbs'!L162/'Pool Lbs &amp; Component Lbs'!N162</f>
        <v>0.43639113127886703</v>
      </c>
      <c r="G44" s="120">
        <f>+'Pool Lbs &amp; Component Lbs'!M162/'Pool Lbs &amp; Component Lbs'!N162</f>
        <v>0.38160271647568622</v>
      </c>
      <c r="H44" s="126">
        <f>+'Pool Lbs &amp; Component Lbs'!P162/'Pool Lbs &amp; Component Lbs'!$U162</f>
        <v>0.14684560917686032</v>
      </c>
      <c r="I44" s="96">
        <f>+'Pool Lbs &amp; Component Lbs'!Q162/'Pool Lbs &amp; Component Lbs'!$U162</f>
        <v>3.8353350175226945E-2</v>
      </c>
      <c r="J44" s="96">
        <f>+'Pool Lbs &amp; Component Lbs'!R162/'Pool Lbs &amp; Component Lbs'!$U162</f>
        <v>2.2347795148671624E-2</v>
      </c>
      <c r="K44" s="96">
        <f>+'Pool Lbs &amp; Component Lbs'!S162/'Pool Lbs &amp; Component Lbs'!$U162</f>
        <v>0.34943374396684845</v>
      </c>
      <c r="L44" s="97">
        <f>+'Pool Lbs &amp; Component Lbs'!T162/'Pool Lbs &amp; Component Lbs'!$U162</f>
        <v>0.44301950153239267</v>
      </c>
    </row>
    <row r="45" spans="1:12" x14ac:dyDescent="0.3">
      <c r="A45" s="79">
        <f>+'Pool Lbs &amp; Component Lbs'!A163</f>
        <v>2012</v>
      </c>
      <c r="B45" s="80" t="str">
        <f>+'Pool Lbs &amp; Component Lbs'!B163</f>
        <v>MARCH</v>
      </c>
      <c r="C45" s="113">
        <f>+'Pool Lbs &amp; Component Lbs'!I163/'Pool Lbs &amp; Component Lbs'!N163</f>
        <v>7.0614165346349123E-2</v>
      </c>
      <c r="D45" s="95">
        <f>+'Pool Lbs &amp; Component Lbs'!J163/'Pool Lbs &amp; Component Lbs'!N163</f>
        <v>6.1453720126407409E-2</v>
      </c>
      <c r="E45" s="95">
        <f>+'Pool Lbs &amp; Component Lbs'!K163/'Pool Lbs &amp; Component Lbs'!N163</f>
        <v>4.8571796563670999E-2</v>
      </c>
      <c r="F45" s="95">
        <f>+'Pool Lbs &amp; Component Lbs'!L163/'Pool Lbs &amp; Component Lbs'!N163</f>
        <v>0.44268541175954101</v>
      </c>
      <c r="G45" s="120">
        <f>+'Pool Lbs &amp; Component Lbs'!M163/'Pool Lbs &amp; Component Lbs'!N163</f>
        <v>0.37667490620403149</v>
      </c>
      <c r="H45" s="126">
        <f>+'Pool Lbs &amp; Component Lbs'!P163/'Pool Lbs &amp; Component Lbs'!$U163</f>
        <v>0.1427601595746697</v>
      </c>
      <c r="I45" s="96">
        <f>+'Pool Lbs &amp; Component Lbs'!Q163/'Pool Lbs &amp; Component Lbs'!$U163</f>
        <v>3.5704335117384564E-2</v>
      </c>
      <c r="J45" s="96">
        <f>+'Pool Lbs &amp; Component Lbs'!R163/'Pool Lbs &amp; Component Lbs'!$U163</f>
        <v>2.6207181981329951E-2</v>
      </c>
      <c r="K45" s="96">
        <f>+'Pool Lbs &amp; Component Lbs'!S163/'Pool Lbs &amp; Component Lbs'!$U163</f>
        <v>0.35475281577823192</v>
      </c>
      <c r="L45" s="97">
        <f>+'Pool Lbs &amp; Component Lbs'!T163/'Pool Lbs &amp; Component Lbs'!$U163</f>
        <v>0.44057550754838387</v>
      </c>
    </row>
    <row r="46" spans="1:12" x14ac:dyDescent="0.3">
      <c r="A46" s="79">
        <f>+'Pool Lbs &amp; Component Lbs'!A164</f>
        <v>2012</v>
      </c>
      <c r="B46" s="80" t="str">
        <f>+'Pool Lbs &amp; Component Lbs'!B164</f>
        <v>APRIL</v>
      </c>
      <c r="C46" s="113">
        <f>+'Pool Lbs &amp; Component Lbs'!I164/'Pool Lbs &amp; Component Lbs'!N164</f>
        <v>7.2850026699648962E-2</v>
      </c>
      <c r="D46" s="95">
        <f>+'Pool Lbs &amp; Component Lbs'!J164/'Pool Lbs &amp; Component Lbs'!N164</f>
        <v>6.1871059182048715E-2</v>
      </c>
      <c r="E46" s="95">
        <f>+'Pool Lbs &amp; Component Lbs'!K164/'Pool Lbs &amp; Component Lbs'!N164</f>
        <v>5.5272926793443367E-2</v>
      </c>
      <c r="F46" s="95">
        <f>+'Pool Lbs &amp; Component Lbs'!L164/'Pool Lbs &amp; Component Lbs'!N164</f>
        <v>0.43167446366738466</v>
      </c>
      <c r="G46" s="120">
        <f>+'Pool Lbs &amp; Component Lbs'!M164/'Pool Lbs &amp; Component Lbs'!N164</f>
        <v>0.3783315236574743</v>
      </c>
      <c r="H46" s="126">
        <f>+'Pool Lbs &amp; Component Lbs'!P164/'Pool Lbs &amp; Component Lbs'!$U164</f>
        <v>0.14512358648203791</v>
      </c>
      <c r="I46" s="96">
        <f>+'Pool Lbs &amp; Component Lbs'!Q164/'Pool Lbs &amp; Component Lbs'!$U164</f>
        <v>3.6964585606252716E-2</v>
      </c>
      <c r="J46" s="96">
        <f>+'Pool Lbs &amp; Component Lbs'!R164/'Pool Lbs &amp; Component Lbs'!$U164</f>
        <v>2.4164827430444475E-2</v>
      </c>
      <c r="K46" s="96">
        <f>+'Pool Lbs &amp; Component Lbs'!S164/'Pool Lbs &amp; Component Lbs'!$U164</f>
        <v>0.35002077877115367</v>
      </c>
      <c r="L46" s="97">
        <f>+'Pool Lbs &amp; Component Lbs'!T164/'Pool Lbs &amp; Component Lbs'!$U164</f>
        <v>0.44372622171011122</v>
      </c>
    </row>
    <row r="47" spans="1:12" x14ac:dyDescent="0.3">
      <c r="A47" s="79">
        <f>+'Pool Lbs &amp; Component Lbs'!A165</f>
        <v>2012</v>
      </c>
      <c r="B47" s="80" t="str">
        <f>+'Pool Lbs &amp; Component Lbs'!B165</f>
        <v>MAY</v>
      </c>
      <c r="C47" s="113">
        <f>+'Pool Lbs &amp; Component Lbs'!I165/'Pool Lbs &amp; Component Lbs'!N165</f>
        <v>7.2344936808945215E-2</v>
      </c>
      <c r="D47" s="95">
        <f>+'Pool Lbs &amp; Component Lbs'!J165/'Pool Lbs &amp; Component Lbs'!N165</f>
        <v>6.5177486978706387E-2</v>
      </c>
      <c r="E47" s="95">
        <f>+'Pool Lbs &amp; Component Lbs'!K165/'Pool Lbs &amp; Component Lbs'!N165</f>
        <v>5.6785170430245169E-2</v>
      </c>
      <c r="F47" s="95">
        <f>+'Pool Lbs &amp; Component Lbs'!L165/'Pool Lbs &amp; Component Lbs'!N165</f>
        <v>0.42852781791546496</v>
      </c>
      <c r="G47" s="120">
        <f>+'Pool Lbs &amp; Component Lbs'!M165/'Pool Lbs &amp; Component Lbs'!N165</f>
        <v>0.37716458786663826</v>
      </c>
      <c r="H47" s="126">
        <f>+'Pool Lbs &amp; Component Lbs'!P165/'Pool Lbs &amp; Component Lbs'!$U165</f>
        <v>0.14248941125998418</v>
      </c>
      <c r="I47" s="96">
        <f>+'Pool Lbs &amp; Component Lbs'!Q165/'Pool Lbs &amp; Component Lbs'!$U165</f>
        <v>3.7210512822069476E-2</v>
      </c>
      <c r="J47" s="96">
        <f>+'Pool Lbs &amp; Component Lbs'!R165/'Pool Lbs &amp; Component Lbs'!$U165</f>
        <v>2.5076511809311305E-2</v>
      </c>
      <c r="K47" s="96">
        <f>+'Pool Lbs &amp; Component Lbs'!S165/'Pool Lbs &amp; Component Lbs'!$U165</f>
        <v>0.35357624585521791</v>
      </c>
      <c r="L47" s="97">
        <f>+'Pool Lbs &amp; Component Lbs'!T165/'Pool Lbs &amp; Component Lbs'!$U165</f>
        <v>0.44164731825341713</v>
      </c>
    </row>
    <row r="48" spans="1:12" x14ac:dyDescent="0.3">
      <c r="A48" s="79">
        <f>+'Pool Lbs &amp; Component Lbs'!A166</f>
        <v>2012</v>
      </c>
      <c r="B48" s="80" t="str">
        <f>+'Pool Lbs &amp; Component Lbs'!B166</f>
        <v>JUNE</v>
      </c>
      <c r="C48" s="113">
        <f>+'Pool Lbs &amp; Component Lbs'!I166/'Pool Lbs &amp; Component Lbs'!N166</f>
        <v>7.2348672778444895E-2</v>
      </c>
      <c r="D48" s="95">
        <f>+'Pool Lbs &amp; Component Lbs'!J166/'Pool Lbs &amp; Component Lbs'!N166</f>
        <v>6.3986338457897876E-2</v>
      </c>
      <c r="E48" s="95">
        <f>+'Pool Lbs &amp; Component Lbs'!K166/'Pool Lbs &amp; Component Lbs'!N166</f>
        <v>6.2846759231055385E-2</v>
      </c>
      <c r="F48" s="95">
        <f>+'Pool Lbs &amp; Component Lbs'!L166/'Pool Lbs &amp; Component Lbs'!N166</f>
        <v>0.40768440580241716</v>
      </c>
      <c r="G48" s="120">
        <f>+'Pool Lbs &amp; Component Lbs'!M166/'Pool Lbs &amp; Component Lbs'!N166</f>
        <v>0.39313382373018468</v>
      </c>
      <c r="H48" s="126">
        <f>+'Pool Lbs &amp; Component Lbs'!P166/'Pool Lbs &amp; Component Lbs'!$U166</f>
        <v>0.13568357492146377</v>
      </c>
      <c r="I48" s="96">
        <f>+'Pool Lbs &amp; Component Lbs'!Q166/'Pool Lbs &amp; Component Lbs'!$U166</f>
        <v>3.6789555046624497E-2</v>
      </c>
      <c r="J48" s="96">
        <f>+'Pool Lbs &amp; Component Lbs'!R166/'Pool Lbs &amp; Component Lbs'!$U166</f>
        <v>2.5115750755736667E-2</v>
      </c>
      <c r="K48" s="96">
        <f>+'Pool Lbs &amp; Component Lbs'!S166/'Pool Lbs &amp; Component Lbs'!$U166</f>
        <v>0.35420840600325953</v>
      </c>
      <c r="L48" s="97">
        <f>+'Pool Lbs &amp; Component Lbs'!T166/'Pool Lbs &amp; Component Lbs'!$U166</f>
        <v>0.44820271327291555</v>
      </c>
    </row>
    <row r="49" spans="1:12" x14ac:dyDescent="0.3">
      <c r="A49" s="79">
        <f>+'Pool Lbs &amp; Component Lbs'!A167</f>
        <v>2012</v>
      </c>
      <c r="B49" s="80" t="str">
        <f>+'Pool Lbs &amp; Component Lbs'!B167</f>
        <v>JULY</v>
      </c>
      <c r="C49" s="113">
        <f>+'Pool Lbs &amp; Component Lbs'!I167/'Pool Lbs &amp; Component Lbs'!N167</f>
        <v>7.9759837187350802E-2</v>
      </c>
      <c r="D49" s="95">
        <f>+'Pool Lbs &amp; Component Lbs'!J167/'Pool Lbs &amp; Component Lbs'!N167</f>
        <v>7.8187436134375912E-2</v>
      </c>
      <c r="E49" s="95">
        <f>+'Pool Lbs &amp; Component Lbs'!K167/'Pool Lbs &amp; Component Lbs'!N167</f>
        <v>7.7290207755012427E-2</v>
      </c>
      <c r="F49" s="95">
        <f>+'Pool Lbs &amp; Component Lbs'!L167/'Pool Lbs &amp; Component Lbs'!N167</f>
        <v>0.36733038783034511</v>
      </c>
      <c r="G49" s="120">
        <f>+'Pool Lbs &amp; Component Lbs'!M167/'Pool Lbs &amp; Component Lbs'!N167</f>
        <v>0.39743213109291581</v>
      </c>
      <c r="H49" s="126">
        <f>+'Pool Lbs &amp; Component Lbs'!P167/'Pool Lbs &amp; Component Lbs'!$U167</f>
        <v>0.1457463120046617</v>
      </c>
      <c r="I49" s="96">
        <f>+'Pool Lbs &amp; Component Lbs'!Q167/'Pool Lbs &amp; Component Lbs'!$U167</f>
        <v>4.0096353263272842E-2</v>
      </c>
      <c r="J49" s="96">
        <f>+'Pool Lbs &amp; Component Lbs'!R167/'Pool Lbs &amp; Component Lbs'!$U167</f>
        <v>2.6961388895734115E-2</v>
      </c>
      <c r="K49" s="96">
        <f>+'Pool Lbs &amp; Component Lbs'!S167/'Pool Lbs &amp; Component Lbs'!$U167</f>
        <v>0.33072976699724593</v>
      </c>
      <c r="L49" s="97">
        <f>+'Pool Lbs &amp; Component Lbs'!T167/'Pool Lbs &amp; Component Lbs'!$U167</f>
        <v>0.45646617883908541</v>
      </c>
    </row>
    <row r="50" spans="1:12" x14ac:dyDescent="0.3">
      <c r="A50" s="79">
        <f>+'Pool Lbs &amp; Component Lbs'!A168</f>
        <v>2012</v>
      </c>
      <c r="B50" s="80" t="str">
        <f>+'Pool Lbs &amp; Component Lbs'!B168</f>
        <v>AUGUST</v>
      </c>
      <c r="C50" s="113">
        <f>+'Pool Lbs &amp; Component Lbs'!I168/'Pool Lbs &amp; Component Lbs'!N168</f>
        <v>8.6587774130340578E-2</v>
      </c>
      <c r="D50" s="95">
        <f>+'Pool Lbs &amp; Component Lbs'!J168/'Pool Lbs &amp; Component Lbs'!N168</f>
        <v>9.0892186332056521E-2</v>
      </c>
      <c r="E50" s="95">
        <f>+'Pool Lbs &amp; Component Lbs'!K168/'Pool Lbs &amp; Component Lbs'!N168</f>
        <v>8.2483418323766294E-2</v>
      </c>
      <c r="F50" s="95">
        <f>+'Pool Lbs &amp; Component Lbs'!L168/'Pool Lbs &amp; Component Lbs'!N168</f>
        <v>0.33750521191124244</v>
      </c>
      <c r="G50" s="120">
        <f>+'Pool Lbs &amp; Component Lbs'!M168/'Pool Lbs &amp; Component Lbs'!N168</f>
        <v>0.40253140930259418</v>
      </c>
      <c r="H50" s="126">
        <f>+'Pool Lbs &amp; Component Lbs'!P168/'Pool Lbs &amp; Component Lbs'!$U168</f>
        <v>0.16895779421846757</v>
      </c>
      <c r="I50" s="96">
        <f>+'Pool Lbs &amp; Component Lbs'!Q168/'Pool Lbs &amp; Component Lbs'!$U168</f>
        <v>4.2617078929242797E-2</v>
      </c>
      <c r="J50" s="96">
        <f>+'Pool Lbs &amp; Component Lbs'!R168/'Pool Lbs &amp; Component Lbs'!$U168</f>
        <v>2.8980270484343016E-2</v>
      </c>
      <c r="K50" s="96">
        <f>+'Pool Lbs &amp; Component Lbs'!S168/'Pool Lbs &amp; Component Lbs'!$U168</f>
        <v>0.28258315869330142</v>
      </c>
      <c r="L50" s="97">
        <f>+'Pool Lbs &amp; Component Lbs'!T168/'Pool Lbs &amp; Component Lbs'!$U168</f>
        <v>0.4768616976746452</v>
      </c>
    </row>
    <row r="51" spans="1:12" x14ac:dyDescent="0.3">
      <c r="A51" s="79">
        <f>+'Pool Lbs &amp; Component Lbs'!A169</f>
        <v>2012</v>
      </c>
      <c r="B51" s="80" t="str">
        <f>+'Pool Lbs &amp; Component Lbs'!B169</f>
        <v>SEPTEMBER</v>
      </c>
      <c r="C51" s="113">
        <f>+'Pool Lbs &amp; Component Lbs'!I169/'Pool Lbs &amp; Component Lbs'!N169</f>
        <v>7.91972669524411E-2</v>
      </c>
      <c r="D51" s="95">
        <f>+'Pool Lbs &amp; Component Lbs'!J169/'Pool Lbs &amp; Component Lbs'!N169</f>
        <v>8.8857538550671369E-2</v>
      </c>
      <c r="E51" s="95">
        <f>+'Pool Lbs &amp; Component Lbs'!K169/'Pool Lbs &amp; Component Lbs'!N169</f>
        <v>6.2701170809358928E-2</v>
      </c>
      <c r="F51" s="95">
        <f>+'Pool Lbs &amp; Component Lbs'!L169/'Pool Lbs &amp; Component Lbs'!N169</f>
        <v>0.37333761115035646</v>
      </c>
      <c r="G51" s="120">
        <f>+'Pool Lbs &amp; Component Lbs'!M169/'Pool Lbs &amp; Component Lbs'!N169</f>
        <v>0.39590641253717218</v>
      </c>
      <c r="H51" s="126">
        <f>+'Pool Lbs &amp; Component Lbs'!P169/'Pool Lbs &amp; Component Lbs'!$U169</f>
        <v>0.16470761852233301</v>
      </c>
      <c r="I51" s="96">
        <f>+'Pool Lbs &amp; Component Lbs'!Q169/'Pool Lbs &amp; Component Lbs'!$U169</f>
        <v>4.2697322940435614E-2</v>
      </c>
      <c r="J51" s="96">
        <f>+'Pool Lbs &amp; Component Lbs'!R169/'Pool Lbs &amp; Component Lbs'!$U169</f>
        <v>2.5005612463558542E-2</v>
      </c>
      <c r="K51" s="96">
        <f>+'Pool Lbs &amp; Component Lbs'!S169/'Pool Lbs &amp; Component Lbs'!$U169</f>
        <v>0.30259399399980635</v>
      </c>
      <c r="L51" s="97">
        <f>+'Pool Lbs &amp; Component Lbs'!T169/'Pool Lbs &amp; Component Lbs'!$U169</f>
        <v>0.46499545207386644</v>
      </c>
    </row>
    <row r="52" spans="1:12" x14ac:dyDescent="0.3">
      <c r="A52" s="79">
        <f>+'Pool Lbs &amp; Component Lbs'!A170</f>
        <v>2012</v>
      </c>
      <c r="B52" s="80" t="str">
        <f>+'Pool Lbs &amp; Component Lbs'!B170</f>
        <v>OCTOBER</v>
      </c>
      <c r="C52" s="113">
        <f>+'Pool Lbs &amp; Component Lbs'!I170/'Pool Lbs &amp; Component Lbs'!N170</f>
        <v>8.6357139413979711E-2</v>
      </c>
      <c r="D52" s="95">
        <f>+'Pool Lbs &amp; Component Lbs'!J170/'Pool Lbs &amp; Component Lbs'!N170</f>
        <v>9.8954309512450864E-2</v>
      </c>
      <c r="E52" s="95">
        <f>+'Pool Lbs &amp; Component Lbs'!K170/'Pool Lbs &amp; Component Lbs'!N170</f>
        <v>5.9815689394702574E-2</v>
      </c>
      <c r="F52" s="95">
        <f>+'Pool Lbs &amp; Component Lbs'!L170/'Pool Lbs &amp; Component Lbs'!N170</f>
        <v>0.36067588274832846</v>
      </c>
      <c r="G52" s="120">
        <f>+'Pool Lbs &amp; Component Lbs'!M170/'Pool Lbs &amp; Component Lbs'!N170</f>
        <v>0.3941969789305384</v>
      </c>
      <c r="H52" s="126">
        <f>+'Pool Lbs &amp; Component Lbs'!P170/'Pool Lbs &amp; Component Lbs'!$U170</f>
        <v>0.17449030599798129</v>
      </c>
      <c r="I52" s="96">
        <f>+'Pool Lbs &amp; Component Lbs'!Q170/'Pool Lbs &amp; Component Lbs'!$U170</f>
        <v>4.5374834765825323E-2</v>
      </c>
      <c r="J52" s="96">
        <f>+'Pool Lbs &amp; Component Lbs'!R170/'Pool Lbs &amp; Component Lbs'!$U170</f>
        <v>2.5602850242342049E-2</v>
      </c>
      <c r="K52" s="96">
        <f>+'Pool Lbs &amp; Component Lbs'!S170/'Pool Lbs &amp; Component Lbs'!$U170</f>
        <v>0.29163988949662001</v>
      </c>
      <c r="L52" s="97">
        <f>+'Pool Lbs &amp; Component Lbs'!T170/'Pool Lbs &amp; Component Lbs'!$U170</f>
        <v>0.4628921194972313</v>
      </c>
    </row>
    <row r="53" spans="1:12" x14ac:dyDescent="0.3">
      <c r="A53" s="79">
        <f>+'Pool Lbs &amp; Component Lbs'!A171</f>
        <v>2012</v>
      </c>
      <c r="B53" s="80" t="str">
        <f>+'Pool Lbs &amp; Component Lbs'!B171</f>
        <v>NOVEMBER</v>
      </c>
      <c r="C53" s="113">
        <f>+'Pool Lbs &amp; Component Lbs'!I171/'Pool Lbs &amp; Component Lbs'!N171</f>
        <v>8.3550517247704834E-2</v>
      </c>
      <c r="D53" s="95">
        <f>+'Pool Lbs &amp; Component Lbs'!J171/'Pool Lbs &amp; Component Lbs'!N171</f>
        <v>0.10346658710260287</v>
      </c>
      <c r="E53" s="95">
        <f>+'Pool Lbs &amp; Component Lbs'!K171/'Pool Lbs &amp; Component Lbs'!N171</f>
        <v>4.8040812912512137E-2</v>
      </c>
      <c r="F53" s="95">
        <f>+'Pool Lbs &amp; Component Lbs'!L171/'Pool Lbs &amp; Component Lbs'!N171</f>
        <v>0.36692591232000271</v>
      </c>
      <c r="G53" s="120">
        <f>+'Pool Lbs &amp; Component Lbs'!M171/'Pool Lbs &amp; Component Lbs'!N171</f>
        <v>0.39801617041717746</v>
      </c>
      <c r="H53" s="126">
        <f>+'Pool Lbs &amp; Component Lbs'!P171/'Pool Lbs &amp; Component Lbs'!$U171</f>
        <v>0.16756465820299912</v>
      </c>
      <c r="I53" s="96">
        <f>+'Pool Lbs &amp; Component Lbs'!Q171/'Pool Lbs &amp; Component Lbs'!$U171</f>
        <v>4.258863204410443E-2</v>
      </c>
      <c r="J53" s="96">
        <f>+'Pool Lbs &amp; Component Lbs'!R171/'Pool Lbs &amp; Component Lbs'!$U171</f>
        <v>2.1365637989163924E-2</v>
      </c>
      <c r="K53" s="96">
        <f>+'Pool Lbs &amp; Component Lbs'!S171/'Pool Lbs &amp; Component Lbs'!$U171</f>
        <v>0.30262298078275729</v>
      </c>
      <c r="L53" s="97">
        <f>+'Pool Lbs &amp; Component Lbs'!T171/'Pool Lbs &amp; Component Lbs'!$U171</f>
        <v>0.46585809098097525</v>
      </c>
    </row>
    <row r="54" spans="1:12" ht="15" thickBot="1" x14ac:dyDescent="0.35">
      <c r="A54" s="83">
        <f>+'Pool Lbs &amp; Component Lbs'!A172</f>
        <v>2012</v>
      </c>
      <c r="B54" s="84" t="str">
        <f>+'Pool Lbs &amp; Component Lbs'!B172</f>
        <v>DECEMBER</v>
      </c>
      <c r="C54" s="114">
        <f>+'Pool Lbs &amp; Component Lbs'!I172/'Pool Lbs &amp; Component Lbs'!N172</f>
        <v>7.9594616902687959E-2</v>
      </c>
      <c r="D54" s="98">
        <f>+'Pool Lbs &amp; Component Lbs'!J172/'Pool Lbs &amp; Component Lbs'!N172</f>
        <v>6.5259027320368368E-2</v>
      </c>
      <c r="E54" s="98">
        <f>+'Pool Lbs &amp; Component Lbs'!K172/'Pool Lbs &amp; Component Lbs'!N172</f>
        <v>3.2414076938229244E-2</v>
      </c>
      <c r="F54" s="98">
        <f>+'Pool Lbs &amp; Component Lbs'!L172/'Pool Lbs &amp; Component Lbs'!N172</f>
        <v>0.42009209273608411</v>
      </c>
      <c r="G54" s="121">
        <f>+'Pool Lbs &amp; Component Lbs'!M172/'Pool Lbs &amp; Component Lbs'!N172</f>
        <v>0.40264018610263036</v>
      </c>
      <c r="H54" s="127">
        <f>+'Pool Lbs &amp; Component Lbs'!P172/'Pool Lbs &amp; Component Lbs'!$U172</f>
        <v>0.15660136761391613</v>
      </c>
      <c r="I54" s="99">
        <f>+'Pool Lbs &amp; Component Lbs'!Q172/'Pool Lbs &amp; Component Lbs'!$U172</f>
        <v>3.6664845649696819E-2</v>
      </c>
      <c r="J54" s="99">
        <f>+'Pool Lbs &amp; Component Lbs'!R172/'Pool Lbs &amp; Component Lbs'!$U172</f>
        <v>1.3548643984647992E-2</v>
      </c>
      <c r="K54" s="99">
        <f>+'Pool Lbs &amp; Component Lbs'!S172/'Pool Lbs &amp; Component Lbs'!$U172</f>
        <v>0.33200715374473233</v>
      </c>
      <c r="L54" s="100">
        <f>+'Pool Lbs &amp; Component Lbs'!T172/'Pool Lbs &amp; Component Lbs'!$U172</f>
        <v>0.46117798900700674</v>
      </c>
    </row>
    <row r="55" spans="1:12" ht="15" thickTop="1" x14ac:dyDescent="0.3">
      <c r="A55" s="87">
        <f>+'Pool Lbs &amp; Component Lbs'!A174</f>
        <v>2013</v>
      </c>
      <c r="B55" s="88" t="str">
        <f>+'Pool Lbs &amp; Component Lbs'!B174</f>
        <v>JANUARY</v>
      </c>
      <c r="C55" s="115">
        <f>+'Pool Lbs &amp; Component Lbs'!I174/'Pool Lbs &amp; Component Lbs'!N174</f>
        <v>7.8563947557760944E-2</v>
      </c>
      <c r="D55" s="101">
        <f>+'Pool Lbs &amp; Component Lbs'!J174/'Pool Lbs &amp; Component Lbs'!N174</f>
        <v>6.5103602530851318E-2</v>
      </c>
      <c r="E55" s="101">
        <f>+'Pool Lbs &amp; Component Lbs'!K174/'Pool Lbs &amp; Component Lbs'!N174</f>
        <v>2.8791187846653642E-2</v>
      </c>
      <c r="F55" s="101">
        <f>+'Pool Lbs &amp; Component Lbs'!L174/'Pool Lbs &amp; Component Lbs'!N174</f>
        <v>0.43725664128576786</v>
      </c>
      <c r="G55" s="122">
        <f>+'Pool Lbs &amp; Component Lbs'!M174/'Pool Lbs &amp; Component Lbs'!N174</f>
        <v>0.39028462077896625</v>
      </c>
      <c r="H55" s="128">
        <f>+'Pool Lbs &amp; Component Lbs'!P174/'Pool Lbs &amp; Component Lbs'!$U174</f>
        <v>0.16213215694701102</v>
      </c>
      <c r="I55" s="102">
        <f>+'Pool Lbs &amp; Component Lbs'!Q174/'Pool Lbs &amp; Component Lbs'!$U174</f>
        <v>3.8816158313579457E-2</v>
      </c>
      <c r="J55" s="102">
        <f>+'Pool Lbs &amp; Component Lbs'!R174/'Pool Lbs &amp; Component Lbs'!$U174</f>
        <v>1.5964810516228955E-2</v>
      </c>
      <c r="K55" s="102">
        <f>+'Pool Lbs &amp; Component Lbs'!S174/'Pool Lbs &amp; Component Lbs'!$U174</f>
        <v>0.32773606925889925</v>
      </c>
      <c r="L55" s="103">
        <f>+'Pool Lbs &amp; Component Lbs'!T174/'Pool Lbs &amp; Component Lbs'!$U174</f>
        <v>0.45535080496428132</v>
      </c>
    </row>
    <row r="56" spans="1:12" x14ac:dyDescent="0.3">
      <c r="A56" s="79">
        <f>+'Pool Lbs &amp; Component Lbs'!A175</f>
        <v>2013</v>
      </c>
      <c r="B56" s="80" t="str">
        <f>+'Pool Lbs &amp; Component Lbs'!B175</f>
        <v>FEBRUARY</v>
      </c>
      <c r="C56" s="113">
        <f>+'Pool Lbs &amp; Component Lbs'!I175/'Pool Lbs &amp; Component Lbs'!N175</f>
        <v>7.3818876965114466E-2</v>
      </c>
      <c r="D56" s="95">
        <f>+'Pool Lbs &amp; Component Lbs'!J175/'Pool Lbs &amp; Component Lbs'!N175</f>
        <v>7.4056779718284366E-2</v>
      </c>
      <c r="E56" s="95">
        <f>+'Pool Lbs &amp; Component Lbs'!K175/'Pool Lbs &amp; Component Lbs'!N175</f>
        <v>4.3686822199239757E-2</v>
      </c>
      <c r="F56" s="95">
        <f>+'Pool Lbs &amp; Component Lbs'!L175/'Pool Lbs &amp; Component Lbs'!N175</f>
        <v>0.42166091110417658</v>
      </c>
      <c r="G56" s="120">
        <f>+'Pool Lbs &amp; Component Lbs'!M175/'Pool Lbs &amp; Component Lbs'!N175</f>
        <v>0.38677661001318481</v>
      </c>
      <c r="H56" s="126">
        <f>+'Pool Lbs &amp; Component Lbs'!P175/'Pool Lbs &amp; Component Lbs'!$U175</f>
        <v>0.15210544061884326</v>
      </c>
      <c r="I56" s="96">
        <f>+'Pool Lbs &amp; Component Lbs'!Q175/'Pool Lbs &amp; Component Lbs'!$U175</f>
        <v>3.8755079556019471E-2</v>
      </c>
      <c r="J56" s="96">
        <f>+'Pool Lbs &amp; Component Lbs'!R175/'Pool Lbs &amp; Component Lbs'!$U175</f>
        <v>2.2034364084596733E-2</v>
      </c>
      <c r="K56" s="96">
        <f>+'Pool Lbs &amp; Component Lbs'!S175/'Pool Lbs &amp; Component Lbs'!$U175</f>
        <v>0.33746064468958564</v>
      </c>
      <c r="L56" s="97">
        <f>+'Pool Lbs &amp; Component Lbs'!T175/'Pool Lbs &amp; Component Lbs'!$U175</f>
        <v>0.44964447105095484</v>
      </c>
    </row>
    <row r="57" spans="1:12" x14ac:dyDescent="0.3">
      <c r="A57" s="79">
        <f>+'Pool Lbs &amp; Component Lbs'!A176</f>
        <v>2013</v>
      </c>
      <c r="B57" s="80" t="str">
        <f>+'Pool Lbs &amp; Component Lbs'!B176</f>
        <v>MARCH</v>
      </c>
      <c r="C57" s="113">
        <f>+'Pool Lbs &amp; Component Lbs'!I176/'Pool Lbs &amp; Component Lbs'!N176</f>
        <v>7.0798713881796413E-2</v>
      </c>
      <c r="D57" s="95">
        <f>+'Pool Lbs &amp; Component Lbs'!J176/'Pool Lbs &amp; Component Lbs'!N176</f>
        <v>7.4535493362221455E-2</v>
      </c>
      <c r="E57" s="95">
        <f>+'Pool Lbs &amp; Component Lbs'!K176/'Pool Lbs &amp; Component Lbs'!N176</f>
        <v>5.4925092847037282E-2</v>
      </c>
      <c r="F57" s="95">
        <f>+'Pool Lbs &amp; Component Lbs'!L176/'Pool Lbs &amp; Component Lbs'!N176</f>
        <v>0.41898826451756904</v>
      </c>
      <c r="G57" s="120">
        <f>+'Pool Lbs &amp; Component Lbs'!M176/'Pool Lbs &amp; Component Lbs'!N176</f>
        <v>0.38075243539137582</v>
      </c>
      <c r="H57" s="126">
        <f>+'Pool Lbs &amp; Component Lbs'!P176/'Pool Lbs &amp; Component Lbs'!$U176</f>
        <v>0.14307518507977893</v>
      </c>
      <c r="I57" s="96">
        <f>+'Pool Lbs &amp; Component Lbs'!Q176/'Pool Lbs &amp; Component Lbs'!$U176</f>
        <v>3.7397123806991568E-2</v>
      </c>
      <c r="J57" s="96">
        <f>+'Pool Lbs &amp; Component Lbs'!R176/'Pool Lbs &amp; Component Lbs'!$U176</f>
        <v>2.2535498638868941E-2</v>
      </c>
      <c r="K57" s="96">
        <f>+'Pool Lbs &amp; Component Lbs'!S176/'Pool Lbs &amp; Component Lbs'!$U176</f>
        <v>0.35171161813940743</v>
      </c>
      <c r="L57" s="97">
        <f>+'Pool Lbs &amp; Component Lbs'!T176/'Pool Lbs &amp; Component Lbs'!$U176</f>
        <v>0.44528057433495311</v>
      </c>
    </row>
    <row r="58" spans="1:12" x14ac:dyDescent="0.3">
      <c r="A58" s="79">
        <f>+'Pool Lbs &amp; Component Lbs'!A177</f>
        <v>2013</v>
      </c>
      <c r="B58" s="80" t="str">
        <f>+'Pool Lbs &amp; Component Lbs'!B177</f>
        <v>APRIL</v>
      </c>
      <c r="C58" s="113">
        <f>+'Pool Lbs &amp; Component Lbs'!I177/'Pool Lbs &amp; Component Lbs'!N177</f>
        <v>7.3169849110399393E-2</v>
      </c>
      <c r="D58" s="95">
        <f>+'Pool Lbs &amp; Component Lbs'!J177/'Pool Lbs &amp; Component Lbs'!N177</f>
        <v>7.9047278572228624E-2</v>
      </c>
      <c r="E58" s="95">
        <f>+'Pool Lbs &amp; Component Lbs'!K177/'Pool Lbs &amp; Component Lbs'!N177</f>
        <v>6.3455736438198088E-2</v>
      </c>
      <c r="F58" s="95">
        <f>+'Pool Lbs &amp; Component Lbs'!L177/'Pool Lbs &amp; Component Lbs'!N177</f>
        <v>0.40100990279648552</v>
      </c>
      <c r="G58" s="120">
        <f>+'Pool Lbs &amp; Component Lbs'!M177/'Pool Lbs &amp; Component Lbs'!N177</f>
        <v>0.38331723308268839</v>
      </c>
      <c r="H58" s="126">
        <f>+'Pool Lbs &amp; Component Lbs'!P177/'Pool Lbs &amp; Component Lbs'!$U177</f>
        <v>0.14654992440349029</v>
      </c>
      <c r="I58" s="96">
        <f>+'Pool Lbs &amp; Component Lbs'!Q177/'Pool Lbs &amp; Component Lbs'!$U177</f>
        <v>3.6264380377408638E-2</v>
      </c>
      <c r="J58" s="96">
        <f>+'Pool Lbs &amp; Component Lbs'!R177/'Pool Lbs &amp; Component Lbs'!$U177</f>
        <v>2.5492649069559333E-2</v>
      </c>
      <c r="K58" s="96">
        <f>+'Pool Lbs &amp; Component Lbs'!S177/'Pool Lbs &amp; Component Lbs'!$U177</f>
        <v>0.34280471534831219</v>
      </c>
      <c r="L58" s="97">
        <f>+'Pool Lbs &amp; Component Lbs'!T177/'Pool Lbs &amp; Component Lbs'!$U177</f>
        <v>0.44888833080122958</v>
      </c>
    </row>
    <row r="59" spans="1:12" x14ac:dyDescent="0.3">
      <c r="A59" s="79">
        <f>+'Pool Lbs &amp; Component Lbs'!A178</f>
        <v>2013</v>
      </c>
      <c r="B59" s="80" t="str">
        <f>+'Pool Lbs &amp; Component Lbs'!B178</f>
        <v>MAY</v>
      </c>
      <c r="C59" s="113">
        <f>+'Pool Lbs &amp; Component Lbs'!I178/'Pool Lbs &amp; Component Lbs'!N178</f>
        <v>7.3514409567227296E-2</v>
      </c>
      <c r="D59" s="95">
        <f>+'Pool Lbs &amp; Component Lbs'!J178/'Pool Lbs &amp; Component Lbs'!N178</f>
        <v>8.3759022575339487E-2</v>
      </c>
      <c r="E59" s="95">
        <f>+'Pool Lbs &amp; Component Lbs'!K178/'Pool Lbs &amp; Component Lbs'!N178</f>
        <v>6.2544255687382311E-2</v>
      </c>
      <c r="F59" s="95">
        <f>+'Pool Lbs &amp; Component Lbs'!L178/'Pool Lbs &amp; Component Lbs'!N178</f>
        <v>0.39313769622659034</v>
      </c>
      <c r="G59" s="120">
        <f>+'Pool Lbs &amp; Component Lbs'!M178/'Pool Lbs &amp; Component Lbs'!N178</f>
        <v>0.38704461594346057</v>
      </c>
      <c r="H59" s="126">
        <f>+'Pool Lbs &amp; Component Lbs'!P178/'Pool Lbs &amp; Component Lbs'!$U178</f>
        <v>0.14554131180608032</v>
      </c>
      <c r="I59" s="96">
        <f>+'Pool Lbs &amp; Component Lbs'!Q178/'Pool Lbs &amp; Component Lbs'!$U178</f>
        <v>3.7613719907028199E-2</v>
      </c>
      <c r="J59" s="96">
        <f>+'Pool Lbs &amp; Component Lbs'!R178/'Pool Lbs &amp; Component Lbs'!$U178</f>
        <v>2.681508367968791E-2</v>
      </c>
      <c r="K59" s="96">
        <f>+'Pool Lbs &amp; Component Lbs'!S178/'Pool Lbs &amp; Component Lbs'!$U178</f>
        <v>0.33766213387378663</v>
      </c>
      <c r="L59" s="97">
        <f>+'Pool Lbs &amp; Component Lbs'!T178/'Pool Lbs &amp; Component Lbs'!$U178</f>
        <v>0.45236775073341695</v>
      </c>
    </row>
    <row r="60" spans="1:12" x14ac:dyDescent="0.3">
      <c r="A60" s="79">
        <f>+'Pool Lbs &amp; Component Lbs'!A179</f>
        <v>2013</v>
      </c>
      <c r="B60" s="80" t="str">
        <f>+'Pool Lbs &amp; Component Lbs'!B179</f>
        <v>JUNE</v>
      </c>
      <c r="C60" s="113">
        <f>+'Pool Lbs &amp; Component Lbs'!I179/'Pool Lbs &amp; Component Lbs'!N179</f>
        <v>7.2547958552973441E-2</v>
      </c>
      <c r="D60" s="95">
        <f>+'Pool Lbs &amp; Component Lbs'!J179/'Pool Lbs &amp; Component Lbs'!N179</f>
        <v>6.3802094438390661E-2</v>
      </c>
      <c r="E60" s="95">
        <f>+'Pool Lbs &amp; Component Lbs'!K179/'Pool Lbs &amp; Component Lbs'!N179</f>
        <v>6.4080824712021311E-2</v>
      </c>
      <c r="F60" s="95">
        <f>+'Pool Lbs &amp; Component Lbs'!L179/'Pool Lbs &amp; Component Lbs'!N179</f>
        <v>0.39974724712367243</v>
      </c>
      <c r="G60" s="120">
        <f>+'Pool Lbs &amp; Component Lbs'!M179/'Pool Lbs &amp; Component Lbs'!N179</f>
        <v>0.39982187517294221</v>
      </c>
      <c r="H60" s="126">
        <f>+'Pool Lbs &amp; Component Lbs'!P179/'Pool Lbs &amp; Component Lbs'!$U179</f>
        <v>0.13403030465913632</v>
      </c>
      <c r="I60" s="96">
        <f>+'Pool Lbs &amp; Component Lbs'!Q179/'Pool Lbs &amp; Component Lbs'!$U179</f>
        <v>3.8664323064751017E-2</v>
      </c>
      <c r="J60" s="96">
        <f>+'Pool Lbs &amp; Component Lbs'!R179/'Pool Lbs &amp; Component Lbs'!$U179</f>
        <v>2.6569338208279527E-2</v>
      </c>
      <c r="K60" s="96">
        <f>+'Pool Lbs &amp; Component Lbs'!S179/'Pool Lbs &amp; Component Lbs'!$U179</f>
        <v>0.340175498997904</v>
      </c>
      <c r="L60" s="97">
        <f>+'Pool Lbs &amp; Component Lbs'!T179/'Pool Lbs &amp; Component Lbs'!$U179</f>
        <v>0.46056053506992917</v>
      </c>
    </row>
    <row r="61" spans="1:12" x14ac:dyDescent="0.3">
      <c r="A61" s="79">
        <f>+'Pool Lbs &amp; Component Lbs'!A180</f>
        <v>2013</v>
      </c>
      <c r="B61" s="80" t="str">
        <f>+'Pool Lbs &amp; Component Lbs'!B180</f>
        <v>JULY</v>
      </c>
      <c r="C61" s="113">
        <f>+'Pool Lbs &amp; Component Lbs'!I180/'Pool Lbs &amp; Component Lbs'!N180</f>
        <v>8.4016591482725264E-2</v>
      </c>
      <c r="D61" s="95">
        <f>+'Pool Lbs &amp; Component Lbs'!J180/'Pool Lbs &amp; Component Lbs'!N180</f>
        <v>6.8125133693058462E-2</v>
      </c>
      <c r="E61" s="95">
        <f>+'Pool Lbs &amp; Component Lbs'!K180/'Pool Lbs &amp; Component Lbs'!N180</f>
        <v>6.7173111784987527E-2</v>
      </c>
      <c r="F61" s="95">
        <f>+'Pool Lbs &amp; Component Lbs'!L180/'Pool Lbs &amp; Component Lbs'!N180</f>
        <v>0.37261857437623891</v>
      </c>
      <c r="G61" s="120">
        <f>+'Pool Lbs &amp; Component Lbs'!M180/'Pool Lbs &amp; Component Lbs'!N180</f>
        <v>0.40806658866298984</v>
      </c>
      <c r="H61" s="126">
        <f>+'Pool Lbs &amp; Component Lbs'!P180/'Pool Lbs &amp; Component Lbs'!$U180</f>
        <v>0.15190353676637766</v>
      </c>
      <c r="I61" s="96">
        <f>+'Pool Lbs &amp; Component Lbs'!Q180/'Pool Lbs &amp; Component Lbs'!$U180</f>
        <v>4.0191380639086387E-2</v>
      </c>
      <c r="J61" s="96">
        <f>+'Pool Lbs &amp; Component Lbs'!R180/'Pool Lbs &amp; Component Lbs'!$U180</f>
        <v>2.8082196126320541E-2</v>
      </c>
      <c r="K61" s="96">
        <f>+'Pool Lbs &amp; Component Lbs'!S180/'Pool Lbs &amp; Component Lbs'!$U180</f>
        <v>0.30734451310317956</v>
      </c>
      <c r="L61" s="97">
        <f>+'Pool Lbs &amp; Component Lbs'!T180/'Pool Lbs &amp; Component Lbs'!$U180</f>
        <v>0.4724783733650359</v>
      </c>
    </row>
    <row r="62" spans="1:12" x14ac:dyDescent="0.3">
      <c r="A62" s="79">
        <f>+'Pool Lbs &amp; Component Lbs'!A181</f>
        <v>2013</v>
      </c>
      <c r="B62" s="80" t="str">
        <f>+'Pool Lbs &amp; Component Lbs'!B181</f>
        <v>AUGUST</v>
      </c>
      <c r="C62" s="113">
        <f>+'Pool Lbs &amp; Component Lbs'!I181/'Pool Lbs &amp; Component Lbs'!N181</f>
        <v>8.2080354077892187E-2</v>
      </c>
      <c r="D62" s="95">
        <f>+'Pool Lbs &amp; Component Lbs'!J181/'Pool Lbs &amp; Component Lbs'!N181</f>
        <v>7.0862299765746803E-2</v>
      </c>
      <c r="E62" s="95">
        <f>+'Pool Lbs &amp; Component Lbs'!K181/'Pool Lbs &amp; Component Lbs'!N181</f>
        <v>6.0881633416682041E-2</v>
      </c>
      <c r="F62" s="95">
        <f>+'Pool Lbs &amp; Component Lbs'!L181/'Pool Lbs &amp; Component Lbs'!N181</f>
        <v>0.38204664022902513</v>
      </c>
      <c r="G62" s="120">
        <f>+'Pool Lbs &amp; Component Lbs'!M181/'Pool Lbs &amp; Component Lbs'!N181</f>
        <v>0.40412907251065383</v>
      </c>
      <c r="H62" s="126">
        <f>+'Pool Lbs &amp; Component Lbs'!P181/'Pool Lbs &amp; Component Lbs'!$U181</f>
        <v>0.15653022921432175</v>
      </c>
      <c r="I62" s="96">
        <f>+'Pool Lbs &amp; Component Lbs'!Q181/'Pool Lbs &amp; Component Lbs'!$U181</f>
        <v>4.7484984039210969E-2</v>
      </c>
      <c r="J62" s="96">
        <f>+'Pool Lbs &amp; Component Lbs'!R181/'Pool Lbs &amp; Component Lbs'!$U181</f>
        <v>2.5168335193482917E-2</v>
      </c>
      <c r="K62" s="96">
        <f>+'Pool Lbs &amp; Component Lbs'!S181/'Pool Lbs &amp; Component Lbs'!$U181</f>
        <v>0.30645561813325728</v>
      </c>
      <c r="L62" s="97">
        <f>+'Pool Lbs &amp; Component Lbs'!T181/'Pool Lbs &amp; Component Lbs'!$U181</f>
        <v>0.46436083341972706</v>
      </c>
    </row>
    <row r="63" spans="1:12" x14ac:dyDescent="0.3">
      <c r="A63" s="79">
        <f>+'Pool Lbs &amp; Component Lbs'!A182</f>
        <v>2013</v>
      </c>
      <c r="B63" s="80" t="str">
        <f>+'Pool Lbs &amp; Component Lbs'!B182</f>
        <v>SEPTEMBER</v>
      </c>
      <c r="C63" s="113">
        <f>+'Pool Lbs &amp; Component Lbs'!I182/'Pool Lbs &amp; Component Lbs'!N182</f>
        <v>8.3840063469657986E-2</v>
      </c>
      <c r="D63" s="95">
        <f>+'Pool Lbs &amp; Component Lbs'!J182/'Pool Lbs &amp; Component Lbs'!N182</f>
        <v>7.1808704781131591E-2</v>
      </c>
      <c r="E63" s="95">
        <f>+'Pool Lbs &amp; Component Lbs'!K182/'Pool Lbs &amp; Component Lbs'!N182</f>
        <v>5.7123800344274771E-2</v>
      </c>
      <c r="F63" s="95">
        <f>+'Pool Lbs &amp; Component Lbs'!L182/'Pool Lbs &amp; Component Lbs'!N182</f>
        <v>0.37414808599488536</v>
      </c>
      <c r="G63" s="120">
        <f>+'Pool Lbs &amp; Component Lbs'!M182/'Pool Lbs &amp; Component Lbs'!N182</f>
        <v>0.41307934541005026</v>
      </c>
      <c r="H63" s="126">
        <f>+'Pool Lbs &amp; Component Lbs'!P182/'Pool Lbs &amp; Component Lbs'!$U182</f>
        <v>0.16711884145106895</v>
      </c>
      <c r="I63" s="96">
        <f>+'Pool Lbs &amp; Component Lbs'!Q182/'Pool Lbs &amp; Component Lbs'!$U182</f>
        <v>4.2455820089546084E-2</v>
      </c>
      <c r="J63" s="96">
        <f>+'Pool Lbs &amp; Component Lbs'!R182/'Pool Lbs &amp; Component Lbs'!$U182</f>
        <v>2.4305145214963408E-2</v>
      </c>
      <c r="K63" s="96">
        <f>+'Pool Lbs &amp; Component Lbs'!S182/'Pool Lbs &amp; Component Lbs'!$U182</f>
        <v>0.29233670110229171</v>
      </c>
      <c r="L63" s="97">
        <f>+'Pool Lbs &amp; Component Lbs'!T182/'Pool Lbs &amp; Component Lbs'!$U182</f>
        <v>0.47378349214212989</v>
      </c>
    </row>
    <row r="64" spans="1:12" x14ac:dyDescent="0.3">
      <c r="A64" s="79">
        <f>+'Pool Lbs &amp; Component Lbs'!A183</f>
        <v>2013</v>
      </c>
      <c r="B64" s="80" t="str">
        <f>+'Pool Lbs &amp; Component Lbs'!B183</f>
        <v>OCTOBER</v>
      </c>
      <c r="C64" s="113">
        <f>+'Pool Lbs &amp; Component Lbs'!I183/'Pool Lbs &amp; Component Lbs'!N183</f>
        <v>8.359304185413155E-2</v>
      </c>
      <c r="D64" s="95">
        <f>+'Pool Lbs &amp; Component Lbs'!J183/'Pool Lbs &amp; Component Lbs'!N183</f>
        <v>9.3413910448888138E-2</v>
      </c>
      <c r="E64" s="95">
        <f>+'Pool Lbs &amp; Component Lbs'!K183/'Pool Lbs &amp; Component Lbs'!N183</f>
        <v>5.2474654189883618E-2</v>
      </c>
      <c r="F64" s="95">
        <f>+'Pool Lbs &amp; Component Lbs'!L183/'Pool Lbs &amp; Component Lbs'!N183</f>
        <v>0.36345026893298099</v>
      </c>
      <c r="G64" s="120">
        <f>+'Pool Lbs &amp; Component Lbs'!M183/'Pool Lbs &amp; Component Lbs'!N183</f>
        <v>0.40706812457411568</v>
      </c>
      <c r="H64" s="126">
        <f>+'Pool Lbs &amp; Component Lbs'!P183/'Pool Lbs &amp; Component Lbs'!$U183</f>
        <v>0.16964938715200387</v>
      </c>
      <c r="I64" s="96">
        <f>+'Pool Lbs &amp; Component Lbs'!Q183/'Pool Lbs &amp; Component Lbs'!$U183</f>
        <v>4.1440272544932544E-2</v>
      </c>
      <c r="J64" s="96">
        <f>+'Pool Lbs &amp; Component Lbs'!R183/'Pool Lbs &amp; Component Lbs'!$U183</f>
        <v>2.3024463620527062E-2</v>
      </c>
      <c r="K64" s="96">
        <f>+'Pool Lbs &amp; Component Lbs'!S183/'Pool Lbs &amp; Component Lbs'!$U183</f>
        <v>0.29891787335590314</v>
      </c>
      <c r="L64" s="97">
        <f>+'Pool Lbs &amp; Component Lbs'!T183/'Pool Lbs &amp; Component Lbs'!$U183</f>
        <v>0.46696800332663335</v>
      </c>
    </row>
    <row r="65" spans="1:34" x14ac:dyDescent="0.3">
      <c r="A65" s="79">
        <f>+'Pool Lbs &amp; Component Lbs'!A184</f>
        <v>2013</v>
      </c>
      <c r="B65" s="80" t="str">
        <f>+'Pool Lbs &amp; Component Lbs'!B184</f>
        <v>NOVEMBER</v>
      </c>
      <c r="C65" s="113">
        <f>+'Pool Lbs &amp; Component Lbs'!I184/'Pool Lbs &amp; Component Lbs'!N184</f>
        <v>7.9986319576175302E-2</v>
      </c>
      <c r="D65" s="95">
        <f>+'Pool Lbs &amp; Component Lbs'!J184/'Pool Lbs &amp; Component Lbs'!N184</f>
        <v>9.8060303642938954E-2</v>
      </c>
      <c r="E65" s="95">
        <f>+'Pool Lbs &amp; Component Lbs'!K184/'Pool Lbs &amp; Component Lbs'!N184</f>
        <v>4.1582067443279823E-2</v>
      </c>
      <c r="F65" s="95">
        <f>+'Pool Lbs &amp; Component Lbs'!L184/'Pool Lbs &amp; Component Lbs'!N184</f>
        <v>0.37105894409282536</v>
      </c>
      <c r="G65" s="120">
        <f>+'Pool Lbs &amp; Component Lbs'!M184/'Pool Lbs &amp; Component Lbs'!N184</f>
        <v>0.40931236524478054</v>
      </c>
      <c r="H65" s="126">
        <f>+'Pool Lbs &amp; Component Lbs'!P184/'Pool Lbs &amp; Component Lbs'!$U184</f>
        <v>0.15783825244205976</v>
      </c>
      <c r="I65" s="96">
        <f>+'Pool Lbs &amp; Component Lbs'!Q184/'Pool Lbs &amp; Component Lbs'!$U184</f>
        <v>3.9923177458554573E-2</v>
      </c>
      <c r="J65" s="96">
        <f>+'Pool Lbs &amp; Component Lbs'!R184/'Pool Lbs &amp; Component Lbs'!$U184</f>
        <v>3.0546171885876411E-2</v>
      </c>
      <c r="K65" s="96">
        <f>+'Pool Lbs &amp; Component Lbs'!S184/'Pool Lbs &amp; Component Lbs'!$U184</f>
        <v>0.30624517817515035</v>
      </c>
      <c r="L65" s="97">
        <f>+'Pool Lbs &amp; Component Lbs'!T184/'Pool Lbs &amp; Component Lbs'!$U184</f>
        <v>0.46544722003835887</v>
      </c>
    </row>
    <row r="66" spans="1:34" ht="15" thickBot="1" x14ac:dyDescent="0.35">
      <c r="A66" s="89">
        <f>+'Pool Lbs &amp; Component Lbs'!A185</f>
        <v>2013</v>
      </c>
      <c r="B66" s="90" t="str">
        <f>+'Pool Lbs &amp; Component Lbs'!B185</f>
        <v>DECEMBER</v>
      </c>
      <c r="C66" s="116">
        <f>+'Pool Lbs &amp; Component Lbs'!I185/'Pool Lbs &amp; Component Lbs'!N185</f>
        <v>8.0045330377180687E-2</v>
      </c>
      <c r="D66" s="104">
        <f>+'Pool Lbs &amp; Component Lbs'!J185/'Pool Lbs &amp; Component Lbs'!N185</f>
        <v>8.8489041010783753E-2</v>
      </c>
      <c r="E66" s="104">
        <f>+'Pool Lbs &amp; Component Lbs'!K185/'Pool Lbs &amp; Component Lbs'!N185</f>
        <v>2.9865108364092625E-2</v>
      </c>
      <c r="F66" s="104">
        <f>+'Pool Lbs &amp; Component Lbs'!L185/'Pool Lbs &amp; Component Lbs'!N185</f>
        <v>0.38842200063766402</v>
      </c>
      <c r="G66" s="123">
        <f>+'Pool Lbs &amp; Component Lbs'!M185/'Pool Lbs &amp; Component Lbs'!N185</f>
        <v>0.4131785196102789</v>
      </c>
      <c r="H66" s="129">
        <f>+'Pool Lbs &amp; Component Lbs'!P185/'Pool Lbs &amp; Component Lbs'!$U185</f>
        <v>0.15562496090276118</v>
      </c>
      <c r="I66" s="105">
        <f>+'Pool Lbs &amp; Component Lbs'!Q185/'Pool Lbs &amp; Component Lbs'!$U185</f>
        <v>3.7728017405844937E-2</v>
      </c>
      <c r="J66" s="105">
        <f>+'Pool Lbs &amp; Component Lbs'!R185/'Pool Lbs &amp; Component Lbs'!$U185</f>
        <v>1.2701726069625559E-2</v>
      </c>
      <c r="K66" s="105">
        <f>+'Pool Lbs &amp; Component Lbs'!S185/'Pool Lbs &amp; Component Lbs'!$U185</f>
        <v>0.32588488912859759</v>
      </c>
      <c r="L66" s="106">
        <f>+'Pool Lbs &amp; Component Lbs'!T185/'Pool Lbs &amp; Component Lbs'!$U185</f>
        <v>0.46806040649317077</v>
      </c>
    </row>
    <row r="67" spans="1:34" ht="15" thickTop="1" x14ac:dyDescent="0.3">
      <c r="A67" s="85">
        <f>+'Pool Lbs &amp; Component Lbs'!A187</f>
        <v>2014</v>
      </c>
      <c r="B67" s="86" t="str">
        <f>+'Pool Lbs &amp; Component Lbs'!B187</f>
        <v>JANUARY</v>
      </c>
      <c r="C67" s="112">
        <f>+'Pool Lbs &amp; Component Lbs'!I187/'Pool Lbs &amp; Component Lbs'!N187</f>
        <v>7.370457231888243E-2</v>
      </c>
      <c r="D67" s="91">
        <f>+'Pool Lbs &amp; Component Lbs'!J187/'Pool Lbs &amp; Component Lbs'!N187</f>
        <v>6.9857758405295775E-2</v>
      </c>
      <c r="E67" s="91">
        <f>+'Pool Lbs &amp; Component Lbs'!K187/'Pool Lbs &amp; Component Lbs'!N187</f>
        <v>5.0058046143397976E-2</v>
      </c>
      <c r="F67" s="91">
        <f>+'Pool Lbs &amp; Component Lbs'!L187/'Pool Lbs &amp; Component Lbs'!N187</f>
        <v>0.39063724467240246</v>
      </c>
      <c r="G67" s="119">
        <f>+'Pool Lbs &amp; Component Lbs'!M187/'Pool Lbs &amp; Component Lbs'!N187</f>
        <v>0.41574237846002138</v>
      </c>
      <c r="H67" s="125">
        <f>+'Pool Lbs &amp; Component Lbs'!P187/'Pool Lbs &amp; Component Lbs'!$U187</f>
        <v>0.14605199534890798</v>
      </c>
      <c r="I67" s="92">
        <f>+'Pool Lbs &amp; Component Lbs'!Q187/'Pool Lbs &amp; Component Lbs'!$U187</f>
        <v>3.586174147879375E-2</v>
      </c>
      <c r="J67" s="92">
        <f>+'Pool Lbs &amp; Component Lbs'!R187/'Pool Lbs &amp; Component Lbs'!$U187</f>
        <v>2.1796425540877372E-2</v>
      </c>
      <c r="K67" s="92">
        <f>+'Pool Lbs &amp; Component Lbs'!S187/'Pool Lbs &amp; Component Lbs'!$U187</f>
        <v>0.33076052862594951</v>
      </c>
      <c r="L67" s="93">
        <f>+'Pool Lbs &amp; Component Lbs'!T187/'Pool Lbs &amp; Component Lbs'!$U187</f>
        <v>0.46552930900547135</v>
      </c>
    </row>
    <row r="68" spans="1:34" x14ac:dyDescent="0.3">
      <c r="A68" s="79">
        <f>+'Pool Lbs &amp; Component Lbs'!A188</f>
        <v>2014</v>
      </c>
      <c r="B68" s="80" t="str">
        <f>+'Pool Lbs &amp; Component Lbs'!B188</f>
        <v>FEBRUARY</v>
      </c>
      <c r="C68" s="113">
        <f>+'Pool Lbs &amp; Component Lbs'!I188/'Pool Lbs &amp; Component Lbs'!N188</f>
        <v>7.2839841105679246E-2</v>
      </c>
      <c r="D68" s="95">
        <f>+'Pool Lbs &amp; Component Lbs'!J188/'Pool Lbs &amp; Component Lbs'!N188</f>
        <v>7.329827709015127E-2</v>
      </c>
      <c r="E68" s="95">
        <f>+'Pool Lbs &amp; Component Lbs'!K188/'Pool Lbs &amp; Component Lbs'!N188</f>
        <v>5.291002649089796E-2</v>
      </c>
      <c r="F68" s="95">
        <f>+'Pool Lbs &amp; Component Lbs'!L188/'Pool Lbs &amp; Component Lbs'!N188</f>
        <v>0.41008773485228606</v>
      </c>
      <c r="G68" s="120">
        <f>+'Pool Lbs &amp; Component Lbs'!M188/'Pool Lbs &amp; Component Lbs'!N188</f>
        <v>0.39086412046098545</v>
      </c>
      <c r="H68" s="126">
        <f>+'Pool Lbs &amp; Component Lbs'!P188/'Pool Lbs &amp; Component Lbs'!$U188</f>
        <v>0.14309396925483342</v>
      </c>
      <c r="I68" s="96">
        <f>+'Pool Lbs &amp; Component Lbs'!Q188/'Pool Lbs &amp; Component Lbs'!$U188</f>
        <v>3.7847470593549697E-2</v>
      </c>
      <c r="J68" s="96">
        <f>+'Pool Lbs &amp; Component Lbs'!R188/'Pool Lbs &amp; Component Lbs'!$U188</f>
        <v>2.3752346495288588E-2</v>
      </c>
      <c r="K68" s="96">
        <f>+'Pool Lbs &amp; Component Lbs'!S188/'Pool Lbs &amp; Component Lbs'!$U188</f>
        <v>0.33360868321436565</v>
      </c>
      <c r="L68" s="97">
        <f>+'Pool Lbs &amp; Component Lbs'!T188/'Pool Lbs &amp; Component Lbs'!$U188</f>
        <v>0.4616975304419626</v>
      </c>
    </row>
    <row r="69" spans="1:34" x14ac:dyDescent="0.3">
      <c r="A69" s="79">
        <f>+'Pool Lbs &amp; Component Lbs'!A189</f>
        <v>2014</v>
      </c>
      <c r="B69" s="80" t="str">
        <f>+'Pool Lbs &amp; Component Lbs'!B189</f>
        <v>MARCH</v>
      </c>
      <c r="C69" s="113">
        <f>+'Pool Lbs &amp; Component Lbs'!I189/'Pool Lbs &amp; Component Lbs'!N189</f>
        <v>7.1940276968342681E-2</v>
      </c>
      <c r="D69" s="95">
        <f>+'Pool Lbs &amp; Component Lbs'!J189/'Pool Lbs &amp; Component Lbs'!N189</f>
        <v>7.8664951069587624E-2</v>
      </c>
      <c r="E69" s="95">
        <f>+'Pool Lbs &amp; Component Lbs'!K189/'Pool Lbs &amp; Component Lbs'!N189</f>
        <v>6.1566520292266301E-2</v>
      </c>
      <c r="F69" s="95">
        <f>+'Pool Lbs &amp; Component Lbs'!L189/'Pool Lbs &amp; Component Lbs'!N189</f>
        <v>0.38417844680486579</v>
      </c>
      <c r="G69" s="120">
        <f>+'Pool Lbs &amp; Component Lbs'!M189/'Pool Lbs &amp; Component Lbs'!N189</f>
        <v>0.40364980486493757</v>
      </c>
      <c r="H69" s="126">
        <f>+'Pool Lbs &amp; Component Lbs'!P189/'Pool Lbs &amp; Component Lbs'!$U189</f>
        <v>0.13683244393962848</v>
      </c>
      <c r="I69" s="96">
        <f>+'Pool Lbs &amp; Component Lbs'!Q189/'Pool Lbs &amp; Component Lbs'!$U189</f>
        <v>3.9883495620266891E-2</v>
      </c>
      <c r="J69" s="96">
        <f>+'Pool Lbs &amp; Component Lbs'!R189/'Pool Lbs &amp; Component Lbs'!$U189</f>
        <v>2.3914929792538946E-2</v>
      </c>
      <c r="K69" s="96">
        <f>+'Pool Lbs &amp; Component Lbs'!S189/'Pool Lbs &amp; Component Lbs'!$U189</f>
        <v>0.34036799761769643</v>
      </c>
      <c r="L69" s="97">
        <f>+'Pool Lbs &amp; Component Lbs'!T189/'Pool Lbs &amp; Component Lbs'!$U189</f>
        <v>0.45900113302986928</v>
      </c>
    </row>
    <row r="70" spans="1:34" x14ac:dyDescent="0.3">
      <c r="A70" s="79">
        <f>+'Pool Lbs &amp; Component Lbs'!A190</f>
        <v>2014</v>
      </c>
      <c r="B70" s="80" t="str">
        <f>+'Pool Lbs &amp; Component Lbs'!B190</f>
        <v>APRIL</v>
      </c>
      <c r="C70" s="113">
        <f>+'Pool Lbs &amp; Component Lbs'!I190/'Pool Lbs &amp; Component Lbs'!N190</f>
        <v>7.5688027638433894E-2</v>
      </c>
      <c r="D70" s="95">
        <f>+'Pool Lbs &amp; Component Lbs'!J190/'Pool Lbs &amp; Component Lbs'!N190</f>
        <v>7.7382310292464063E-2</v>
      </c>
      <c r="E70" s="95">
        <f>+'Pool Lbs &amp; Component Lbs'!K190/'Pool Lbs &amp; Component Lbs'!N190</f>
        <v>5.9996953284433524E-2</v>
      </c>
      <c r="F70" s="95">
        <f>+'Pool Lbs &amp; Component Lbs'!L190/'Pool Lbs &amp; Component Lbs'!N190</f>
        <v>0.37892274374699081</v>
      </c>
      <c r="G70" s="120">
        <f>+'Pool Lbs &amp; Component Lbs'!M190/'Pool Lbs &amp; Component Lbs'!N190</f>
        <v>0.40800996503767767</v>
      </c>
      <c r="H70" s="126">
        <f>+'Pool Lbs &amp; Component Lbs'!P190/'Pool Lbs &amp; Component Lbs'!$U190</f>
        <v>0.13996838232717229</v>
      </c>
      <c r="I70" s="96">
        <f>+'Pool Lbs &amp; Component Lbs'!Q190/'Pool Lbs &amp; Component Lbs'!$U190</f>
        <v>3.6968600162628304E-2</v>
      </c>
      <c r="J70" s="96">
        <f>+'Pool Lbs &amp; Component Lbs'!R190/'Pool Lbs &amp; Component Lbs'!$U190</f>
        <v>2.4573863114935326E-2</v>
      </c>
      <c r="K70" s="96">
        <f>+'Pool Lbs &amp; Component Lbs'!S190/'Pool Lbs &amp; Component Lbs'!$U190</f>
        <v>0.33883720983496807</v>
      </c>
      <c r="L70" s="97">
        <f>+'Pool Lbs &amp; Component Lbs'!T190/'Pool Lbs &amp; Component Lbs'!$U190</f>
        <v>0.45965194456029601</v>
      </c>
    </row>
    <row r="71" spans="1:34" x14ac:dyDescent="0.3">
      <c r="A71" s="79">
        <f>+'Pool Lbs &amp; Component Lbs'!A191</f>
        <v>2014</v>
      </c>
      <c r="B71" s="80" t="str">
        <f>+'Pool Lbs &amp; Component Lbs'!B191</f>
        <v>MAY</v>
      </c>
      <c r="C71" s="113">
        <f>+'Pool Lbs &amp; Component Lbs'!I191/'Pool Lbs &amp; Component Lbs'!N191</f>
        <v>7.5772473550482791E-2</v>
      </c>
      <c r="D71" s="95">
        <f>+'Pool Lbs &amp; Component Lbs'!J191/'Pool Lbs &amp; Component Lbs'!N191</f>
        <v>7.7405215587555934E-2</v>
      </c>
      <c r="E71" s="95">
        <f>+'Pool Lbs &amp; Component Lbs'!K191/'Pool Lbs &amp; Component Lbs'!N191</f>
        <v>6.4577377330122851E-2</v>
      </c>
      <c r="F71" s="95">
        <f>+'Pool Lbs &amp; Component Lbs'!L191/'Pool Lbs &amp; Component Lbs'!N191</f>
        <v>0.36939313741488006</v>
      </c>
      <c r="G71" s="120">
        <f>+'Pool Lbs &amp; Component Lbs'!M191/'Pool Lbs &amp; Component Lbs'!N191</f>
        <v>0.41285179611695833</v>
      </c>
      <c r="H71" s="126">
        <f>+'Pool Lbs &amp; Component Lbs'!P191/'Pool Lbs &amp; Component Lbs'!$U191</f>
        <v>0.1391737545528153</v>
      </c>
      <c r="I71" s="96">
        <f>+'Pool Lbs &amp; Component Lbs'!Q191/'Pool Lbs &amp; Component Lbs'!$U191</f>
        <v>3.4753125271993167E-2</v>
      </c>
      <c r="J71" s="96">
        <f>+'Pool Lbs &amp; Component Lbs'!R191/'Pool Lbs &amp; Component Lbs'!$U191</f>
        <v>2.3188361517634804E-2</v>
      </c>
      <c r="K71" s="96">
        <f>+'Pool Lbs &amp; Component Lbs'!S191/'Pool Lbs &amp; Component Lbs'!$U191</f>
        <v>0.34482410220563564</v>
      </c>
      <c r="L71" s="97">
        <f>+'Pool Lbs &amp; Component Lbs'!T191/'Pool Lbs &amp; Component Lbs'!$U191</f>
        <v>0.45806065645192112</v>
      </c>
    </row>
    <row r="72" spans="1:34" x14ac:dyDescent="0.3">
      <c r="A72" s="79">
        <f>+'Pool Lbs &amp; Component Lbs'!A192</f>
        <v>2014</v>
      </c>
      <c r="B72" s="80" t="str">
        <f>+'Pool Lbs &amp; Component Lbs'!B192</f>
        <v>JUNE</v>
      </c>
      <c r="C72" s="113">
        <f>+'Pool Lbs &amp; Component Lbs'!I192/'Pool Lbs &amp; Component Lbs'!N192</f>
        <v>8.0024324701979177E-2</v>
      </c>
      <c r="D72" s="95">
        <f>+'Pool Lbs &amp; Component Lbs'!J192/'Pool Lbs &amp; Component Lbs'!N192</f>
        <v>8.5026107780231744E-2</v>
      </c>
      <c r="E72" s="95">
        <f>+'Pool Lbs &amp; Component Lbs'!K192/'Pool Lbs &amp; Component Lbs'!N192</f>
        <v>7.5168678147496351E-2</v>
      </c>
      <c r="F72" s="95">
        <f>+'Pool Lbs &amp; Component Lbs'!L192/'Pool Lbs &amp; Component Lbs'!N192</f>
        <v>0.34068490253621625</v>
      </c>
      <c r="G72" s="120">
        <f>+'Pool Lbs &amp; Component Lbs'!M192/'Pool Lbs &amp; Component Lbs'!N192</f>
        <v>0.41909598683407651</v>
      </c>
      <c r="H72" s="126">
        <f>+'Pool Lbs &amp; Component Lbs'!P192/'Pool Lbs &amp; Component Lbs'!$U192</f>
        <v>0.13915596988150639</v>
      </c>
      <c r="I72" s="96">
        <f>+'Pool Lbs &amp; Component Lbs'!Q192/'Pool Lbs &amp; Component Lbs'!$U192</f>
        <v>4.0250701306422609E-2</v>
      </c>
      <c r="J72" s="96">
        <f>+'Pool Lbs &amp; Component Lbs'!R192/'Pool Lbs &amp; Component Lbs'!$U192</f>
        <v>2.7747032517092249E-2</v>
      </c>
      <c r="K72" s="96">
        <f>+'Pool Lbs &amp; Component Lbs'!S192/'Pool Lbs &amp; Component Lbs'!$U192</f>
        <v>0.32864805560304799</v>
      </c>
      <c r="L72" s="97">
        <f>+'Pool Lbs &amp; Component Lbs'!T192/'Pool Lbs &amp; Component Lbs'!$U192</f>
        <v>0.46419824069193077</v>
      </c>
    </row>
    <row r="73" spans="1:34" x14ac:dyDescent="0.3">
      <c r="A73" s="79">
        <f>+'Pool Lbs &amp; Component Lbs'!A193</f>
        <v>2014</v>
      </c>
      <c r="B73" s="80" t="str">
        <f>+'Pool Lbs &amp; Component Lbs'!B193</f>
        <v>JULY</v>
      </c>
      <c r="C73" s="113">
        <f>+'Pool Lbs &amp; Component Lbs'!I193/'Pool Lbs &amp; Component Lbs'!N193</f>
        <v>8.5492658406848818E-2</v>
      </c>
      <c r="D73" s="95">
        <f>+'Pool Lbs &amp; Component Lbs'!J193/'Pool Lbs &amp; Component Lbs'!N193</f>
        <v>8.7789041198645459E-2</v>
      </c>
      <c r="E73" s="95">
        <f>+'Pool Lbs &amp; Component Lbs'!K193/'Pool Lbs &amp; Component Lbs'!N193</f>
        <v>9.047313375853458E-2</v>
      </c>
      <c r="F73" s="95">
        <f>+'Pool Lbs &amp; Component Lbs'!L193/'Pool Lbs &amp; Component Lbs'!N193</f>
        <v>0.30849554229851361</v>
      </c>
      <c r="G73" s="120">
        <f>+'Pool Lbs &amp; Component Lbs'!M193/'Pool Lbs &amp; Component Lbs'!N193</f>
        <v>0.42774962433745756</v>
      </c>
      <c r="H73" s="126">
        <f>+'Pool Lbs &amp; Component Lbs'!P193/'Pool Lbs &amp; Component Lbs'!$U193</f>
        <v>0.14485108106974154</v>
      </c>
      <c r="I73" s="96">
        <f>+'Pool Lbs &amp; Component Lbs'!Q193/'Pool Lbs &amp; Component Lbs'!$U193</f>
        <v>3.6531661496696552E-2</v>
      </c>
      <c r="J73" s="96">
        <f>+'Pool Lbs &amp; Component Lbs'!R193/'Pool Lbs &amp; Component Lbs'!$U193</f>
        <v>2.7350685122593033E-2</v>
      </c>
      <c r="K73" s="96">
        <f>+'Pool Lbs &amp; Component Lbs'!S193/'Pool Lbs &amp; Component Lbs'!$U193</f>
        <v>0.31417357327462814</v>
      </c>
      <c r="L73" s="97">
        <f>+'Pool Lbs &amp; Component Lbs'!T193/'Pool Lbs &amp; Component Lbs'!$U193</f>
        <v>0.47709299903634078</v>
      </c>
    </row>
    <row r="74" spans="1:34" x14ac:dyDescent="0.3">
      <c r="A74" s="79">
        <f>+'Pool Lbs &amp; Component Lbs'!A194</f>
        <v>2014</v>
      </c>
      <c r="B74" s="80" t="str">
        <f>+'Pool Lbs &amp; Component Lbs'!B194</f>
        <v>AUGUST</v>
      </c>
      <c r="C74" s="113">
        <f>+'Pool Lbs &amp; Component Lbs'!I194/'Pool Lbs &amp; Component Lbs'!N194</f>
        <v>8.5183058049200372E-2</v>
      </c>
      <c r="D74" s="95">
        <f>+'Pool Lbs &amp; Component Lbs'!J194/'Pool Lbs &amp; Component Lbs'!N194</f>
        <v>8.6293203334568067E-2</v>
      </c>
      <c r="E74" s="95">
        <f>+'Pool Lbs &amp; Component Lbs'!K194/'Pool Lbs &amp; Component Lbs'!N194</f>
        <v>6.9408813041297202E-2</v>
      </c>
      <c r="F74" s="95">
        <f>+'Pool Lbs &amp; Component Lbs'!L194/'Pool Lbs &amp; Component Lbs'!N194</f>
        <v>0.33309459500021982</v>
      </c>
      <c r="G74" s="120">
        <f>+'Pool Lbs &amp; Component Lbs'!M194/'Pool Lbs &amp; Component Lbs'!N194</f>
        <v>0.42602033057471456</v>
      </c>
      <c r="H74" s="126">
        <f>+'Pool Lbs &amp; Component Lbs'!P194/'Pool Lbs &amp; Component Lbs'!$U194</f>
        <v>0.15216782607786958</v>
      </c>
      <c r="I74" s="96">
        <f>+'Pool Lbs &amp; Component Lbs'!Q194/'Pool Lbs &amp; Component Lbs'!$U194</f>
        <v>3.9125601214110191E-2</v>
      </c>
      <c r="J74" s="96">
        <f>+'Pool Lbs &amp; Component Lbs'!R194/'Pool Lbs &amp; Component Lbs'!$U194</f>
        <v>2.3862816438101356E-2</v>
      </c>
      <c r="K74" s="96">
        <f>+'Pool Lbs &amp; Component Lbs'!S194/'Pool Lbs &amp; Component Lbs'!$U194</f>
        <v>0.30319241256066704</v>
      </c>
      <c r="L74" s="97">
        <f>+'Pool Lbs &amp; Component Lbs'!T194/'Pool Lbs &amp; Component Lbs'!$U194</f>
        <v>0.48165134370925183</v>
      </c>
    </row>
    <row r="75" spans="1:34" x14ac:dyDescent="0.3">
      <c r="A75" s="79">
        <f>+'Pool Lbs &amp; Component Lbs'!A195</f>
        <v>2014</v>
      </c>
      <c r="B75" s="80" t="str">
        <f>+'Pool Lbs &amp; Component Lbs'!B195</f>
        <v>SEPTEMBER</v>
      </c>
      <c r="C75" s="113">
        <f>+'Pool Lbs &amp; Component Lbs'!I195/'Pool Lbs &amp; Component Lbs'!N195</f>
        <v>8.5733102716084503E-2</v>
      </c>
      <c r="D75" s="95">
        <f>+'Pool Lbs &amp; Component Lbs'!J195/'Pool Lbs &amp; Component Lbs'!N195</f>
        <v>9.106130354857904E-2</v>
      </c>
      <c r="E75" s="95">
        <f>+'Pool Lbs &amp; Component Lbs'!K195/'Pool Lbs &amp; Component Lbs'!N195</f>
        <v>7.20618958210201E-2</v>
      </c>
      <c r="F75" s="95">
        <f>+'Pool Lbs &amp; Component Lbs'!L195/'Pool Lbs &amp; Component Lbs'!N195</f>
        <v>0.30709058853899041</v>
      </c>
      <c r="G75" s="120">
        <f>+'Pool Lbs &amp; Component Lbs'!M195/'Pool Lbs &amp; Component Lbs'!N195</f>
        <v>0.44405310937532594</v>
      </c>
      <c r="H75" s="126">
        <f>+'Pool Lbs &amp; Component Lbs'!P195/'Pool Lbs &amp; Component Lbs'!$U195</f>
        <v>0.16026560691497219</v>
      </c>
      <c r="I75" s="96">
        <f>+'Pool Lbs &amp; Component Lbs'!Q195/'Pool Lbs &amp; Component Lbs'!$U195</f>
        <v>4.2337878606792015E-2</v>
      </c>
      <c r="J75" s="96">
        <f>+'Pool Lbs &amp; Component Lbs'!R195/'Pool Lbs &amp; Component Lbs'!$U195</f>
        <v>2.3671537970010401E-2</v>
      </c>
      <c r="K75" s="96">
        <f>+'Pool Lbs &amp; Component Lbs'!S195/'Pool Lbs &amp; Component Lbs'!$U195</f>
        <v>0.2791357288742396</v>
      </c>
      <c r="L75" s="97">
        <f>+'Pool Lbs &amp; Component Lbs'!T195/'Pool Lbs &amp; Component Lbs'!$U195</f>
        <v>0.49458924763398576</v>
      </c>
    </row>
    <row r="76" spans="1:34" x14ac:dyDescent="0.3">
      <c r="A76" s="79">
        <f>+'Pool Lbs &amp; Component Lbs'!A196</f>
        <v>2014</v>
      </c>
      <c r="B76" s="80" t="str">
        <f>+'Pool Lbs &amp; Component Lbs'!B196</f>
        <v>OCTOBER</v>
      </c>
      <c r="C76" s="113">
        <f>+'Pool Lbs &amp; Component Lbs'!I196/'Pool Lbs &amp; Component Lbs'!N196</f>
        <v>8.4967558997202569E-2</v>
      </c>
      <c r="D76" s="95">
        <f>+'Pool Lbs &amp; Component Lbs'!J196/'Pool Lbs &amp; Component Lbs'!N196</f>
        <v>7.4178368686872956E-2</v>
      </c>
      <c r="E76" s="95">
        <f>+'Pool Lbs &amp; Component Lbs'!K196/'Pool Lbs &amp; Component Lbs'!N196</f>
        <v>5.4181734481958246E-2</v>
      </c>
      <c r="F76" s="95">
        <f>+'Pool Lbs &amp; Component Lbs'!L196/'Pool Lbs &amp; Component Lbs'!N196</f>
        <v>0.35303043836680859</v>
      </c>
      <c r="G76" s="120">
        <f>+'Pool Lbs &amp; Component Lbs'!M196/'Pool Lbs &amp; Component Lbs'!N196</f>
        <v>0.43364189946715764</v>
      </c>
      <c r="H76" s="126">
        <f>+'Pool Lbs &amp; Component Lbs'!P196/'Pool Lbs &amp; Component Lbs'!$U196</f>
        <v>0.16312060889103913</v>
      </c>
      <c r="I76" s="96">
        <f>+'Pool Lbs &amp; Component Lbs'!Q196/'Pool Lbs &amp; Component Lbs'!$U196</f>
        <v>3.981809463493223E-2</v>
      </c>
      <c r="J76" s="96">
        <f>+'Pool Lbs &amp; Component Lbs'!R196/'Pool Lbs &amp; Component Lbs'!$U196</f>
        <v>2.2044623852974381E-2</v>
      </c>
      <c r="K76" s="96">
        <f>+'Pool Lbs &amp; Component Lbs'!S196/'Pool Lbs &amp; Component Lbs'!$U196</f>
        <v>0.2836558173224788</v>
      </c>
      <c r="L76" s="97">
        <f>+'Pool Lbs &amp; Component Lbs'!T196/'Pool Lbs &amp; Component Lbs'!$U196</f>
        <v>0.49136085529857543</v>
      </c>
    </row>
    <row r="77" spans="1:34" x14ac:dyDescent="0.3">
      <c r="A77" s="79">
        <f>+'Pool Lbs &amp; Component Lbs'!A197</f>
        <v>2014</v>
      </c>
      <c r="B77" s="80" t="str">
        <f>+'Pool Lbs &amp; Component Lbs'!B197</f>
        <v>NOVEMBER</v>
      </c>
      <c r="C77" s="113">
        <f>+'Pool Lbs &amp; Component Lbs'!I197/'Pool Lbs &amp; Component Lbs'!N197</f>
        <v>7.9931726962620325E-2</v>
      </c>
      <c r="D77" s="95">
        <f>+'Pool Lbs &amp; Component Lbs'!J197/'Pool Lbs &amp; Component Lbs'!N197</f>
        <v>8.2756602938493379E-2</v>
      </c>
      <c r="E77" s="95">
        <f>+'Pool Lbs &amp; Component Lbs'!K197/'Pool Lbs &amp; Component Lbs'!N197</f>
        <v>4.2394209959962251E-2</v>
      </c>
      <c r="F77" s="95">
        <f>+'Pool Lbs &amp; Component Lbs'!L197/'Pool Lbs &amp; Component Lbs'!N197</f>
        <v>0.35675254427180209</v>
      </c>
      <c r="G77" s="120">
        <f>+'Pool Lbs &amp; Component Lbs'!M197/'Pool Lbs &amp; Component Lbs'!N197</f>
        <v>0.43816491586712197</v>
      </c>
      <c r="H77" s="126">
        <f>+'Pool Lbs &amp; Component Lbs'!P197/'Pool Lbs &amp; Component Lbs'!$U197</f>
        <v>0.15366469794869658</v>
      </c>
      <c r="I77" s="96">
        <f>+'Pool Lbs &amp; Component Lbs'!Q197/'Pool Lbs &amp; Component Lbs'!$U197</f>
        <v>3.8122764858418597E-2</v>
      </c>
      <c r="J77" s="96">
        <f>+'Pool Lbs &amp; Component Lbs'!R197/'Pool Lbs &amp; Component Lbs'!$U197</f>
        <v>1.9554231824293441E-2</v>
      </c>
      <c r="K77" s="96">
        <f>+'Pool Lbs &amp; Component Lbs'!S197/'Pool Lbs &amp; Component Lbs'!$U197</f>
        <v>0.30412824527571575</v>
      </c>
      <c r="L77" s="97">
        <f>+'Pool Lbs &amp; Component Lbs'!T197/'Pool Lbs &amp; Component Lbs'!$U197</f>
        <v>0.48453006009287564</v>
      </c>
    </row>
    <row r="78" spans="1:34" ht="15" thickBot="1" x14ac:dyDescent="0.35">
      <c r="A78" s="81">
        <f>+'Pool Lbs &amp; Component Lbs'!A198</f>
        <v>2014</v>
      </c>
      <c r="B78" s="82" t="str">
        <f>+'Pool Lbs &amp; Component Lbs'!B198</f>
        <v>DECEMBER</v>
      </c>
      <c r="C78" s="117">
        <f>+'Pool Lbs &amp; Component Lbs'!I198/'Pool Lbs &amp; Component Lbs'!N198</f>
        <v>8.3134036117233426E-2</v>
      </c>
      <c r="D78" s="107">
        <f>+'Pool Lbs &amp; Component Lbs'!J198/'Pool Lbs &amp; Component Lbs'!N198</f>
        <v>7.6544199342435643E-2</v>
      </c>
      <c r="E78" s="107">
        <f>+'Pool Lbs &amp; Component Lbs'!K198/'Pool Lbs &amp; Component Lbs'!N198</f>
        <v>3.7111811088968549E-2</v>
      </c>
      <c r="F78" s="107">
        <f>+'Pool Lbs &amp; Component Lbs'!L198/'Pool Lbs &amp; Component Lbs'!N198</f>
        <v>0.37056086962346663</v>
      </c>
      <c r="G78" s="124">
        <f>+'Pool Lbs &amp; Component Lbs'!M198/'Pool Lbs &amp; Component Lbs'!N198</f>
        <v>0.43264908382789574</v>
      </c>
      <c r="H78" s="130">
        <f>+'Pool Lbs &amp; Component Lbs'!P198/'Pool Lbs &amp; Component Lbs'!$U198</f>
        <v>0.15555964213289902</v>
      </c>
      <c r="I78" s="108">
        <f>+'Pool Lbs &amp; Component Lbs'!Q198/'Pool Lbs &amp; Component Lbs'!$U198</f>
        <v>3.9015768737203783E-2</v>
      </c>
      <c r="J78" s="108">
        <f>+'Pool Lbs &amp; Component Lbs'!R198/'Pool Lbs &amp; Component Lbs'!$U198</f>
        <v>1.4226865067957263E-2</v>
      </c>
      <c r="K78" s="108">
        <f>+'Pool Lbs &amp; Component Lbs'!S198/'Pool Lbs &amp; Component Lbs'!$U198</f>
        <v>0.30398850555040602</v>
      </c>
      <c r="L78" s="109">
        <f>+'Pool Lbs &amp; Component Lbs'!T198/'Pool Lbs &amp; Component Lbs'!$U198</f>
        <v>0.48720921851153393</v>
      </c>
    </row>
    <row r="79" spans="1:34" ht="18.75" customHeight="1" thickBot="1" x14ac:dyDescent="0.35">
      <c r="K79" s="5" t="s">
        <v>152</v>
      </c>
      <c r="L79" s="94">
        <f>AVERAGE(L7:L78)</f>
        <v>0.44709258188926904</v>
      </c>
    </row>
    <row r="80" spans="1:34" s="17" customFormat="1" ht="21.75" customHeight="1" thickTop="1" x14ac:dyDescent="0.3">
      <c r="A80" s="378" t="s">
        <v>44</v>
      </c>
      <c r="B80" s="378"/>
      <c r="C80" s="378"/>
      <c r="D80" s="378"/>
      <c r="E80" s="378"/>
      <c r="F80" s="131"/>
      <c r="G80" s="131"/>
      <c r="H80" s="131"/>
      <c r="I80" s="131"/>
      <c r="J80" s="131"/>
      <c r="K80" s="131"/>
      <c r="L80" s="131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8" customHeight="1" x14ac:dyDescent="0.3">
      <c r="A81" s="24" t="s">
        <v>38</v>
      </c>
      <c r="B81" s="9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x14ac:dyDescent="0.3">
      <c r="A82" s="386" t="s">
        <v>47</v>
      </c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</row>
    <row r="83" spans="1:34" x14ac:dyDescent="0.3">
      <c r="A83" s="371" t="s">
        <v>48</v>
      </c>
      <c r="B83" s="371"/>
      <c r="C83" s="371"/>
      <c r="D83" s="371"/>
      <c r="E83" s="371"/>
      <c r="F83" s="371"/>
      <c r="G83" s="371"/>
      <c r="H83" s="371"/>
    </row>
    <row r="84" spans="1:34" x14ac:dyDescent="0.3">
      <c r="A84" s="9" t="s">
        <v>50</v>
      </c>
      <c r="B84" s="9"/>
      <c r="C84" s="9"/>
      <c r="D84" s="9"/>
      <c r="E84" s="9"/>
    </row>
  </sheetData>
  <sheetProtection algorithmName="SHA-512" hashValue="0CdHT0ExEu1w5PKfvSAU+4dQvfaNfFBCXaREmB+92AbG1hb3DFPXC6UKaukd2C1ueW7dZFLbZE9jhURL4eWtEg==" saltValue="1NCJ+sON0d8emCkgBwdXcg==" spinCount="100000" sheet="1" objects="1" scenarios="1" selectLockedCells="1" selectUnlockedCells="1"/>
  <mergeCells count="9">
    <mergeCell ref="A83:H83"/>
    <mergeCell ref="A4:A6"/>
    <mergeCell ref="B4:B6"/>
    <mergeCell ref="A80:E80"/>
    <mergeCell ref="A3:L3"/>
    <mergeCell ref="C4:L4"/>
    <mergeCell ref="C5:G5"/>
    <mergeCell ref="H5:L5"/>
    <mergeCell ref="A82:L82"/>
  </mergeCells>
  <printOptions gridLines="1"/>
  <pageMargins left="0.25" right="0.25" top="0.75" bottom="0.75" header="0.3" footer="0.3"/>
  <pageSetup scale="90" fitToHeight="2" orientation="portrait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"/>
    </sheetView>
  </sheetViews>
  <sheetFormatPr defaultRowHeight="14.4" x14ac:dyDescent="0.3"/>
  <cols>
    <col min="3" max="3" width="16.5546875" customWidth="1"/>
    <col min="4" max="4" width="11.6640625" customWidth="1"/>
    <col min="5" max="5" width="9.88671875" customWidth="1"/>
    <col min="6" max="6" width="12.6640625" customWidth="1"/>
  </cols>
  <sheetData>
    <row r="1" spans="1:8" x14ac:dyDescent="0.3">
      <c r="A1" s="1" t="s">
        <v>240</v>
      </c>
    </row>
    <row r="3" spans="1:8" x14ac:dyDescent="0.3">
      <c r="A3" t="s">
        <v>182</v>
      </c>
    </row>
    <row r="5" spans="1:8" x14ac:dyDescent="0.3">
      <c r="B5" t="s">
        <v>183</v>
      </c>
      <c r="D5" s="294"/>
      <c r="E5" s="294"/>
      <c r="F5" s="294"/>
      <c r="G5" s="294"/>
    </row>
    <row r="6" spans="1:8" x14ac:dyDescent="0.3">
      <c r="E6">
        <v>0.62</v>
      </c>
    </row>
    <row r="7" spans="1:8" x14ac:dyDescent="0.3">
      <c r="B7" t="s">
        <v>239</v>
      </c>
    </row>
    <row r="8" spans="1:8" x14ac:dyDescent="0.3">
      <c r="B8" t="s">
        <v>184</v>
      </c>
      <c r="D8" s="295" t="s">
        <v>185</v>
      </c>
      <c r="E8" s="296" t="s">
        <v>186</v>
      </c>
      <c r="F8" s="296"/>
    </row>
    <row r="9" spans="1:8" x14ac:dyDescent="0.3">
      <c r="C9" t="s">
        <v>187</v>
      </c>
      <c r="D9" s="297">
        <v>3.68</v>
      </c>
      <c r="E9" s="297">
        <f>D9+(2*0.29)</f>
        <v>4.26</v>
      </c>
      <c r="F9" s="297"/>
    </row>
    <row r="10" spans="1:8" x14ac:dyDescent="0.3">
      <c r="C10" t="s">
        <v>188</v>
      </c>
      <c r="D10" s="297">
        <v>3.09</v>
      </c>
      <c r="E10" s="297">
        <f>D10+(2*0.16)</f>
        <v>3.4099999999999997</v>
      </c>
    </row>
    <row r="12" spans="1:8" x14ac:dyDescent="0.3">
      <c r="C12" t="s">
        <v>189</v>
      </c>
      <c r="D12" s="297">
        <f>((D9*0.9)+(D10*0.827-0.1))*1.09/0.62</f>
        <v>10.139514032258065</v>
      </c>
      <c r="E12" s="297">
        <f>((E9*0.9)+(E10*0.827-0.1))*1.09/0.62</f>
        <v>11.522477903225807</v>
      </c>
      <c r="F12" s="297"/>
    </row>
    <row r="14" spans="1:8" x14ac:dyDescent="0.3">
      <c r="C14" t="s">
        <v>190</v>
      </c>
      <c r="D14" s="387" t="s">
        <v>191</v>
      </c>
      <c r="E14" s="387"/>
      <c r="F14" s="387"/>
      <c r="G14" s="299"/>
      <c r="H14" s="299"/>
    </row>
    <row r="15" spans="1:8" x14ac:dyDescent="0.3">
      <c r="C15" t="s">
        <v>192</v>
      </c>
      <c r="D15" s="297">
        <f>D10*0.827-0.01</f>
        <v>2.5454300000000001</v>
      </c>
      <c r="E15" s="297">
        <f>E10*0.827-0.01</f>
        <v>2.8100699999999996</v>
      </c>
      <c r="F15" s="297"/>
    </row>
    <row r="16" spans="1:8" x14ac:dyDescent="0.3">
      <c r="C16" t="s">
        <v>193</v>
      </c>
      <c r="D16" s="297">
        <f>D10-(D10*0.827-0.01)</f>
        <v>0.54456999999999978</v>
      </c>
      <c r="E16" s="297">
        <f>E10-(E10*0.827-0.01)</f>
        <v>0.59993000000000007</v>
      </c>
      <c r="F16" s="297"/>
    </row>
    <row r="18" spans="1:1" x14ac:dyDescent="0.3">
      <c r="A18" t="s">
        <v>194</v>
      </c>
    </row>
    <row r="19" spans="1:1" x14ac:dyDescent="0.3">
      <c r="A19" t="s">
        <v>177</v>
      </c>
    </row>
  </sheetData>
  <sheetProtection algorithmName="SHA-512" hashValue="QoCV2C1QmP6y/alzcJKF37sdnRnKb7F0xchLz/77Ov5sIBF5d46IPFN+uS0JX9aMY0hPso0Vmky7i29UsktNCA==" saltValue="DkhtdYK+9LWvxAn0xogQ3w==" spinCount="100000" sheet="1" objects="1" scenarios="1" selectLockedCells="1" selectUnlockedCells="1"/>
  <mergeCells count="1">
    <mergeCell ref="D14:F14"/>
  </mergeCells>
  <printOptions gridLines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4.4" x14ac:dyDescent="0.3"/>
  <cols>
    <col min="1" max="1" width="10.5546875" customWidth="1"/>
    <col min="2" max="4" width="10.5546875" bestFit="1" customWidth="1"/>
    <col min="5" max="5" width="9" bestFit="1" customWidth="1"/>
    <col min="6" max="6" width="10.5546875" bestFit="1" customWidth="1"/>
    <col min="7" max="9" width="9" bestFit="1" customWidth="1"/>
    <col min="10" max="10" width="36.44140625" bestFit="1" customWidth="1"/>
    <col min="11" max="11" width="6.109375" bestFit="1" customWidth="1"/>
  </cols>
  <sheetData>
    <row r="1" spans="1:10" x14ac:dyDescent="0.3">
      <c r="A1" s="1" t="s">
        <v>202</v>
      </c>
    </row>
    <row r="3" spans="1:10" x14ac:dyDescent="0.3">
      <c r="A3" s="1" t="s">
        <v>224</v>
      </c>
    </row>
    <row r="5" spans="1:10" x14ac:dyDescent="0.3">
      <c r="B5" s="388" t="s">
        <v>225</v>
      </c>
      <c r="C5" s="389"/>
      <c r="D5" s="388" t="s">
        <v>226</v>
      </c>
      <c r="E5" s="389"/>
      <c r="F5" s="388" t="s">
        <v>227</v>
      </c>
      <c r="G5" s="389"/>
      <c r="H5" s="388" t="s">
        <v>228</v>
      </c>
      <c r="I5" s="389"/>
    </row>
    <row r="6" spans="1:10" x14ac:dyDescent="0.3">
      <c r="A6" t="s">
        <v>229</v>
      </c>
      <c r="B6" s="390">
        <v>0.125</v>
      </c>
      <c r="C6" s="391"/>
      <c r="D6" s="392">
        <v>0.33</v>
      </c>
      <c r="E6" s="393"/>
      <c r="F6" s="392">
        <v>0.77</v>
      </c>
      <c r="G6" s="393"/>
      <c r="H6" s="392">
        <v>0.89</v>
      </c>
      <c r="I6" s="393"/>
    </row>
    <row r="7" spans="1:10" s="298" customFormat="1" x14ac:dyDescent="0.3">
      <c r="A7" s="298" t="s">
        <v>36</v>
      </c>
      <c r="B7" s="311" t="s">
        <v>230</v>
      </c>
      <c r="C7" s="312" t="s">
        <v>231</v>
      </c>
      <c r="D7" s="311" t="s">
        <v>230</v>
      </c>
      <c r="E7" s="312" t="s">
        <v>231</v>
      </c>
      <c r="F7" s="311" t="s">
        <v>230</v>
      </c>
      <c r="G7" s="312" t="s">
        <v>231</v>
      </c>
      <c r="H7" s="311" t="s">
        <v>230</v>
      </c>
      <c r="I7" s="312" t="s">
        <v>231</v>
      </c>
    </row>
    <row r="8" spans="1:10" x14ac:dyDescent="0.3">
      <c r="A8">
        <v>2009</v>
      </c>
      <c r="B8" s="313">
        <v>1001160</v>
      </c>
      <c r="C8" s="314">
        <f>B8*$B$6</f>
        <v>125145</v>
      </c>
      <c r="D8" s="313">
        <v>260604</v>
      </c>
      <c r="E8" s="314">
        <f>D8*$D$6</f>
        <v>85999.32</v>
      </c>
      <c r="F8" s="313">
        <v>154411</v>
      </c>
      <c r="G8" s="314">
        <f>F8*$F$6</f>
        <v>118896.47</v>
      </c>
      <c r="H8" s="313">
        <v>51878</v>
      </c>
      <c r="I8" s="315">
        <f>H8*$H$6</f>
        <v>46171.42</v>
      </c>
    </row>
    <row r="9" spans="1:10" x14ac:dyDescent="0.3">
      <c r="A9">
        <v>2010</v>
      </c>
      <c r="B9" s="313">
        <v>1012980</v>
      </c>
      <c r="C9" s="314">
        <f t="shared" ref="C9:C13" si="0">B9*$B$6</f>
        <v>126622.5</v>
      </c>
      <c r="D9" s="313">
        <v>244314</v>
      </c>
      <c r="E9" s="314">
        <f t="shared" ref="E9:E13" si="1">D9*$D$6</f>
        <v>80623.62000000001</v>
      </c>
      <c r="F9" s="313">
        <v>183596</v>
      </c>
      <c r="G9" s="314">
        <f t="shared" ref="G9:G13" si="2">F9*$F$6</f>
        <v>141368.92000000001</v>
      </c>
      <c r="H9" s="313">
        <v>61321</v>
      </c>
      <c r="I9" s="315">
        <f t="shared" ref="I9:I13" si="3">H9*$H$6</f>
        <v>54575.69</v>
      </c>
    </row>
    <row r="10" spans="1:10" x14ac:dyDescent="0.3">
      <c r="A10">
        <v>2011</v>
      </c>
      <c r="B10" s="313">
        <v>1010120</v>
      </c>
      <c r="C10" s="314">
        <f t="shared" si="0"/>
        <v>126265</v>
      </c>
      <c r="D10" s="313">
        <v>241465</v>
      </c>
      <c r="E10" s="314">
        <f t="shared" si="1"/>
        <v>79683.45</v>
      </c>
      <c r="F10" s="313">
        <v>189473</v>
      </c>
      <c r="G10" s="314">
        <f t="shared" si="2"/>
        <v>145894.21</v>
      </c>
      <c r="H10" s="313">
        <v>60511</v>
      </c>
      <c r="I10" s="315">
        <f t="shared" si="3"/>
        <v>53854.79</v>
      </c>
    </row>
    <row r="11" spans="1:10" x14ac:dyDescent="0.3">
      <c r="A11">
        <v>2012</v>
      </c>
      <c r="B11" s="313">
        <v>998898</v>
      </c>
      <c r="C11" s="314">
        <f t="shared" si="0"/>
        <v>124862.25</v>
      </c>
      <c r="D11" s="313">
        <v>254501</v>
      </c>
      <c r="E11" s="314">
        <f t="shared" si="1"/>
        <v>83985.33</v>
      </c>
      <c r="F11" s="313">
        <v>204973</v>
      </c>
      <c r="G11" s="314">
        <f t="shared" si="2"/>
        <v>157829.21</v>
      </c>
      <c r="H11" s="313">
        <v>64806</v>
      </c>
      <c r="I11" s="315">
        <f t="shared" si="3"/>
        <v>57677.340000000004</v>
      </c>
    </row>
    <row r="12" spans="1:10" x14ac:dyDescent="0.3">
      <c r="A12">
        <v>2013</v>
      </c>
      <c r="B12" s="313">
        <v>961020</v>
      </c>
      <c r="C12" s="314">
        <f t="shared" si="0"/>
        <v>120127.5</v>
      </c>
      <c r="D12" s="313">
        <v>259416</v>
      </c>
      <c r="E12" s="314">
        <f t="shared" si="1"/>
        <v>85607.28</v>
      </c>
      <c r="F12" s="313">
        <v>238232</v>
      </c>
      <c r="G12" s="314">
        <f t="shared" si="2"/>
        <v>183438.64</v>
      </c>
      <c r="H12" s="313">
        <v>87086</v>
      </c>
      <c r="I12" s="315">
        <f t="shared" si="3"/>
        <v>77506.540000000008</v>
      </c>
    </row>
    <row r="13" spans="1:10" x14ac:dyDescent="0.3">
      <c r="A13">
        <v>2014</v>
      </c>
      <c r="B13" s="316">
        <v>869660</v>
      </c>
      <c r="C13" s="317">
        <f t="shared" si="0"/>
        <v>108707.5</v>
      </c>
      <c r="D13" s="316">
        <v>280978</v>
      </c>
      <c r="E13" s="317">
        <f t="shared" si="1"/>
        <v>92722.74</v>
      </c>
      <c r="F13" s="316">
        <v>257179</v>
      </c>
      <c r="G13" s="317">
        <f t="shared" si="2"/>
        <v>198027.83000000002</v>
      </c>
      <c r="H13" s="316">
        <v>81332</v>
      </c>
      <c r="I13" s="318">
        <f t="shared" si="3"/>
        <v>72385.48</v>
      </c>
    </row>
    <row r="14" spans="1:10" x14ac:dyDescent="0.3">
      <c r="A14" t="s">
        <v>25</v>
      </c>
      <c r="B14" s="319">
        <f t="shared" ref="B14:I14" si="4">SUM(B8:B13)</f>
        <v>5853838</v>
      </c>
      <c r="C14" s="319">
        <f t="shared" si="4"/>
        <v>731729.75</v>
      </c>
      <c r="D14" s="319">
        <f t="shared" si="4"/>
        <v>1541278</v>
      </c>
      <c r="E14" s="319">
        <f t="shared" si="4"/>
        <v>508621.74</v>
      </c>
      <c r="F14" s="319">
        <f t="shared" si="4"/>
        <v>1227864</v>
      </c>
      <c r="G14" s="319">
        <f t="shared" si="4"/>
        <v>945455.28</v>
      </c>
      <c r="H14" s="319">
        <f t="shared" si="4"/>
        <v>406934</v>
      </c>
      <c r="I14" s="319">
        <f t="shared" si="4"/>
        <v>362171.26</v>
      </c>
      <c r="J14" s="304"/>
    </row>
    <row r="16" spans="1:10" x14ac:dyDescent="0.3">
      <c r="A16" t="s">
        <v>232</v>
      </c>
      <c r="C16" s="319">
        <f>C14</f>
        <v>731729.75</v>
      </c>
    </row>
    <row r="17" spans="1:3" x14ac:dyDescent="0.3">
      <c r="A17" t="s">
        <v>233</v>
      </c>
      <c r="C17" s="319">
        <f>E14+G14+I14</f>
        <v>1816248.28</v>
      </c>
    </row>
    <row r="18" spans="1:3" x14ac:dyDescent="0.3">
      <c r="A18" t="s">
        <v>234</v>
      </c>
    </row>
    <row r="19" spans="1:3" x14ac:dyDescent="0.3">
      <c r="B19" s="320">
        <f>C14/(C14+E14+G14+I14)</f>
        <v>0.28718055704742473</v>
      </c>
    </row>
    <row r="21" spans="1:3" x14ac:dyDescent="0.3">
      <c r="A21" s="321" t="s">
        <v>235</v>
      </c>
    </row>
    <row r="22" spans="1:3" x14ac:dyDescent="0.3">
      <c r="A22" t="s">
        <v>200</v>
      </c>
    </row>
    <row r="23" spans="1:3" x14ac:dyDescent="0.3">
      <c r="A23" t="s">
        <v>201</v>
      </c>
    </row>
  </sheetData>
  <sheetProtection algorithmName="SHA-512" hashValue="lRDbdMhSn42vglg3pf/tMGhvSeR9G+8HJ+rHjq2tIMD+d8D/gMm0rZWCL3cwnxDUxktVQzH1AvediZw+G6TPxQ==" saltValue="APYF4AIsVAu2IYS3QTOpxA==" spinCount="100000" sheet="1" objects="1" scenarios="1" selectLockedCells="1" selectUnlockedCells="1"/>
  <mergeCells count="8">
    <mergeCell ref="B5:C5"/>
    <mergeCell ref="D5:E5"/>
    <mergeCell ref="F5:G5"/>
    <mergeCell ref="H5:I5"/>
    <mergeCell ref="B6:C6"/>
    <mergeCell ref="D6:E6"/>
    <mergeCell ref="F6:G6"/>
    <mergeCell ref="H6:I6"/>
  </mergeCells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A3" sqref="A3"/>
    </sheetView>
  </sheetViews>
  <sheetFormatPr defaultRowHeight="14.4" x14ac:dyDescent="0.3"/>
  <cols>
    <col min="1" max="1" width="26.109375" customWidth="1"/>
    <col min="2" max="7" width="10.88671875" bestFit="1" customWidth="1"/>
  </cols>
  <sheetData>
    <row r="1" spans="1:8" x14ac:dyDescent="0.3">
      <c r="A1" s="1" t="s">
        <v>206</v>
      </c>
    </row>
    <row r="3" spans="1:8" ht="45.6" x14ac:dyDescent="0.3">
      <c r="A3" s="337" t="s">
        <v>241</v>
      </c>
      <c r="B3" s="322"/>
      <c r="C3" s="322"/>
      <c r="D3" s="307"/>
      <c r="E3" s="307"/>
      <c r="F3" s="395"/>
      <c r="G3" s="395"/>
      <c r="H3" s="395"/>
    </row>
    <row r="4" spans="1:8" x14ac:dyDescent="0.3">
      <c r="A4" s="396" t="s">
        <v>126</v>
      </c>
      <c r="B4" s="399" t="s">
        <v>242</v>
      </c>
      <c r="C4" s="400"/>
      <c r="D4" s="399" t="s">
        <v>242</v>
      </c>
      <c r="E4" s="400"/>
      <c r="F4" s="399" t="s">
        <v>242</v>
      </c>
      <c r="G4" s="400"/>
      <c r="H4" s="226"/>
    </row>
    <row r="5" spans="1:8" x14ac:dyDescent="0.3">
      <c r="A5" s="397"/>
      <c r="B5" s="227">
        <v>2009</v>
      </c>
      <c r="C5" s="227">
        <v>2010</v>
      </c>
      <c r="D5" s="227">
        <v>2011</v>
      </c>
      <c r="E5" s="227">
        <v>2012</v>
      </c>
      <c r="F5" s="227">
        <v>2013</v>
      </c>
      <c r="G5" s="227">
        <v>2014</v>
      </c>
      <c r="H5" s="226"/>
    </row>
    <row r="6" spans="1:8" x14ac:dyDescent="0.3">
      <c r="A6" s="398"/>
      <c r="B6" s="227" t="s">
        <v>203</v>
      </c>
      <c r="C6" s="227" t="s">
        <v>203</v>
      </c>
      <c r="D6" s="227" t="s">
        <v>203</v>
      </c>
      <c r="E6" s="227" t="s">
        <v>203</v>
      </c>
      <c r="F6" s="227" t="s">
        <v>203</v>
      </c>
      <c r="G6" s="227" t="s">
        <v>203</v>
      </c>
      <c r="H6" s="226"/>
    </row>
    <row r="7" spans="1:8" ht="21.6" x14ac:dyDescent="0.3">
      <c r="A7" s="323" t="s">
        <v>204</v>
      </c>
      <c r="B7" s="229" t="s">
        <v>129</v>
      </c>
      <c r="C7" s="229" t="s">
        <v>129</v>
      </c>
      <c r="D7" s="229" t="s">
        <v>129</v>
      </c>
      <c r="E7" s="229" t="s">
        <v>129</v>
      </c>
      <c r="F7" s="229" t="s">
        <v>129</v>
      </c>
      <c r="G7" s="229" t="s">
        <v>129</v>
      </c>
      <c r="H7" s="226"/>
    </row>
    <row r="8" spans="1:8" x14ac:dyDescent="0.3">
      <c r="A8" s="306" t="s">
        <v>130</v>
      </c>
      <c r="B8" s="231">
        <v>85739163</v>
      </c>
      <c r="C8" s="231">
        <v>72447112</v>
      </c>
      <c r="D8" s="231">
        <v>61131366</v>
      </c>
      <c r="E8" s="231">
        <v>74308714</v>
      </c>
      <c r="F8" s="231">
        <v>56866540</v>
      </c>
      <c r="G8" s="231">
        <v>54910013</v>
      </c>
      <c r="H8" s="226"/>
    </row>
    <row r="9" spans="1:8" x14ac:dyDescent="0.3">
      <c r="A9" s="306" t="s">
        <v>131</v>
      </c>
      <c r="B9" s="231">
        <v>154307101</v>
      </c>
      <c r="C9" s="231">
        <v>137133002</v>
      </c>
      <c r="D9" s="231">
        <v>113535459</v>
      </c>
      <c r="E9" s="231">
        <v>163170809</v>
      </c>
      <c r="F9" s="231">
        <v>112147937</v>
      </c>
      <c r="G9" s="231">
        <v>123373876</v>
      </c>
      <c r="H9" s="226"/>
    </row>
    <row r="10" spans="1:8" x14ac:dyDescent="0.3">
      <c r="A10" s="306" t="s">
        <v>132</v>
      </c>
      <c r="B10" s="231">
        <v>229297585</v>
      </c>
      <c r="C10" s="231">
        <v>211249670</v>
      </c>
      <c r="D10" s="231">
        <v>178699938</v>
      </c>
      <c r="E10" s="231">
        <v>264344499</v>
      </c>
      <c r="F10" s="231">
        <v>175392977</v>
      </c>
      <c r="G10" s="231">
        <v>201728035</v>
      </c>
      <c r="H10" s="226"/>
    </row>
    <row r="11" spans="1:8" x14ac:dyDescent="0.3">
      <c r="A11" s="306" t="s">
        <v>133</v>
      </c>
      <c r="B11" s="231">
        <v>298811457</v>
      </c>
      <c r="C11" s="231">
        <v>295698784</v>
      </c>
      <c r="D11" s="231">
        <v>253614832</v>
      </c>
      <c r="E11" s="231">
        <v>355558948</v>
      </c>
      <c r="F11" s="231">
        <v>245559797</v>
      </c>
      <c r="G11" s="231">
        <v>267721521</v>
      </c>
      <c r="H11" s="226"/>
    </row>
    <row r="12" spans="1:8" x14ac:dyDescent="0.3">
      <c r="A12" s="306" t="s">
        <v>134</v>
      </c>
      <c r="B12" s="231">
        <v>374468323</v>
      </c>
      <c r="C12" s="231">
        <v>380560369</v>
      </c>
      <c r="D12" s="231">
        <v>326251530</v>
      </c>
      <c r="E12" s="231">
        <v>453311287</v>
      </c>
      <c r="F12" s="231">
        <v>304058167</v>
      </c>
      <c r="G12" s="231">
        <v>330048707</v>
      </c>
      <c r="H12" s="226"/>
    </row>
    <row r="13" spans="1:8" x14ac:dyDescent="0.3">
      <c r="A13" s="306" t="s">
        <v>135</v>
      </c>
      <c r="B13" s="231">
        <v>446325190</v>
      </c>
      <c r="C13" s="231">
        <v>450844443</v>
      </c>
      <c r="D13" s="231">
        <v>396470936</v>
      </c>
      <c r="E13" s="231">
        <v>534582910</v>
      </c>
      <c r="F13" s="231">
        <v>353990284</v>
      </c>
      <c r="G13" s="231">
        <v>386410765</v>
      </c>
      <c r="H13" s="226"/>
    </row>
    <row r="14" spans="1:8" x14ac:dyDescent="0.3">
      <c r="A14" s="306" t="s">
        <v>136</v>
      </c>
      <c r="B14" s="231">
        <v>515162294</v>
      </c>
      <c r="C14" s="231">
        <v>518878013</v>
      </c>
      <c r="D14" s="231">
        <v>458796117</v>
      </c>
      <c r="E14" s="231">
        <v>597191559</v>
      </c>
      <c r="F14" s="231">
        <v>395196366</v>
      </c>
      <c r="G14" s="231">
        <v>464591145</v>
      </c>
      <c r="H14" s="226"/>
    </row>
    <row r="15" spans="1:8" x14ac:dyDescent="0.3">
      <c r="A15" s="306" t="s">
        <v>137</v>
      </c>
      <c r="B15" s="231">
        <v>583926930</v>
      </c>
      <c r="C15" s="231">
        <v>593129699</v>
      </c>
      <c r="D15" s="231">
        <v>518516409</v>
      </c>
      <c r="E15" s="231">
        <v>639436407</v>
      </c>
      <c r="F15" s="231">
        <v>434675004</v>
      </c>
      <c r="G15" s="231">
        <v>507016211</v>
      </c>
      <c r="H15" s="226"/>
    </row>
    <row r="16" spans="1:8" x14ac:dyDescent="0.3">
      <c r="A16" s="306" t="s">
        <v>138</v>
      </c>
      <c r="B16" s="231">
        <v>641592698</v>
      </c>
      <c r="C16" s="231">
        <v>662806024</v>
      </c>
      <c r="D16" s="231">
        <v>573499260</v>
      </c>
      <c r="E16" s="231">
        <v>679846344</v>
      </c>
      <c r="F16" s="231">
        <v>466811139</v>
      </c>
      <c r="G16" s="231">
        <v>550736852</v>
      </c>
      <c r="H16" s="226"/>
    </row>
    <row r="17" spans="1:8" x14ac:dyDescent="0.3">
      <c r="A17" s="306" t="s">
        <v>139</v>
      </c>
      <c r="B17" s="231">
        <v>704767171</v>
      </c>
      <c r="C17" s="231">
        <v>731864793</v>
      </c>
      <c r="D17" s="231">
        <v>626644582</v>
      </c>
      <c r="E17" s="231">
        <v>718337209</v>
      </c>
      <c r="F17" s="231">
        <v>500147162</v>
      </c>
      <c r="G17" s="231">
        <v>598090529</v>
      </c>
      <c r="H17" s="226"/>
    </row>
    <row r="18" spans="1:8" x14ac:dyDescent="0.3">
      <c r="A18" s="306" t="s">
        <v>140</v>
      </c>
      <c r="B18" s="231">
        <v>764488422</v>
      </c>
      <c r="C18" s="231">
        <v>804660672</v>
      </c>
      <c r="D18" s="231">
        <v>687755073</v>
      </c>
      <c r="E18" s="231">
        <v>764922285</v>
      </c>
      <c r="F18" s="231">
        <v>535705496</v>
      </c>
      <c r="G18" s="231">
        <v>659235179</v>
      </c>
      <c r="H18" s="226"/>
    </row>
    <row r="19" spans="1:8" x14ac:dyDescent="0.3">
      <c r="A19" s="323" t="s">
        <v>141</v>
      </c>
      <c r="B19" s="324">
        <v>832299203</v>
      </c>
      <c r="C19" s="324">
        <v>877359617</v>
      </c>
      <c r="D19" s="324">
        <v>760162946</v>
      </c>
      <c r="E19" s="324">
        <v>830808916</v>
      </c>
      <c r="F19" s="324">
        <v>583106034</v>
      </c>
      <c r="G19" s="324">
        <v>719044661</v>
      </c>
      <c r="H19" s="226"/>
    </row>
    <row r="20" spans="1:8" x14ac:dyDescent="0.3">
      <c r="A20" s="306"/>
      <c r="B20" s="231"/>
      <c r="C20" s="231"/>
      <c r="D20" s="231"/>
      <c r="E20" s="231"/>
      <c r="F20" s="231"/>
      <c r="G20" s="231"/>
      <c r="H20" s="226"/>
    </row>
    <row r="21" spans="1:8" x14ac:dyDescent="0.3">
      <c r="A21" s="323" t="s">
        <v>205</v>
      </c>
      <c r="B21" s="229" t="s">
        <v>129</v>
      </c>
      <c r="C21" s="229" t="s">
        <v>129</v>
      </c>
      <c r="D21" s="229" t="s">
        <v>129</v>
      </c>
      <c r="E21" s="229" t="s">
        <v>129</v>
      </c>
      <c r="F21" s="229" t="s">
        <v>129</v>
      </c>
      <c r="G21" s="229" t="s">
        <v>129</v>
      </c>
      <c r="H21" s="226"/>
    </row>
    <row r="22" spans="1:8" x14ac:dyDescent="0.3">
      <c r="A22" s="306" t="s">
        <v>130</v>
      </c>
      <c r="B22" s="231">
        <v>3613687</v>
      </c>
      <c r="C22" s="231">
        <v>17131324</v>
      </c>
      <c r="D22" s="231">
        <v>26768065</v>
      </c>
      <c r="E22" s="231">
        <v>27951721</v>
      </c>
      <c r="F22" s="231">
        <v>36189253</v>
      </c>
      <c r="G22" s="231">
        <v>45313011</v>
      </c>
      <c r="H22" s="226"/>
    </row>
    <row r="23" spans="1:8" x14ac:dyDescent="0.3">
      <c r="A23" s="306" t="s">
        <v>131</v>
      </c>
      <c r="B23" s="231">
        <v>13388655</v>
      </c>
      <c r="C23" s="231">
        <v>34407757</v>
      </c>
      <c r="D23" s="231">
        <v>55457003</v>
      </c>
      <c r="E23" s="231">
        <v>38581986</v>
      </c>
      <c r="F23" s="231">
        <v>69930471</v>
      </c>
      <c r="G23" s="231">
        <v>70145788</v>
      </c>
      <c r="H23" s="226"/>
    </row>
    <row r="24" spans="1:8" x14ac:dyDescent="0.3">
      <c r="A24" s="306" t="s">
        <v>132</v>
      </c>
      <c r="B24" s="231">
        <v>24272508</v>
      </c>
      <c r="C24" s="231">
        <v>52136121</v>
      </c>
      <c r="D24" s="231">
        <v>86898928</v>
      </c>
      <c r="E24" s="231">
        <v>45879187</v>
      </c>
      <c r="F24" s="231">
        <v>107947319</v>
      </c>
      <c r="G24" s="231">
        <v>96968695</v>
      </c>
      <c r="H24" s="226"/>
    </row>
    <row r="25" spans="1:8" x14ac:dyDescent="0.3">
      <c r="A25" s="306" t="s">
        <v>133</v>
      </c>
      <c r="B25" s="231">
        <v>38406425</v>
      </c>
      <c r="C25" s="231">
        <v>60686546</v>
      </c>
      <c r="D25" s="231">
        <v>106872332</v>
      </c>
      <c r="E25" s="231">
        <v>58446590</v>
      </c>
      <c r="F25" s="231">
        <v>139143896</v>
      </c>
      <c r="G25" s="231">
        <v>133683677</v>
      </c>
      <c r="H25" s="226"/>
    </row>
    <row r="26" spans="1:8" x14ac:dyDescent="0.3">
      <c r="A26" s="306" t="s">
        <v>134</v>
      </c>
      <c r="B26" s="231">
        <v>51657245</v>
      </c>
      <c r="C26" s="231">
        <v>68629218</v>
      </c>
      <c r="D26" s="231">
        <v>134215402</v>
      </c>
      <c r="E26" s="231">
        <v>67527791</v>
      </c>
      <c r="F26" s="231">
        <v>181325917</v>
      </c>
      <c r="G26" s="231">
        <v>179286152</v>
      </c>
      <c r="H26" s="226"/>
    </row>
    <row r="27" spans="1:8" x14ac:dyDescent="0.3">
      <c r="A27" s="306" t="s">
        <v>135</v>
      </c>
      <c r="B27" s="231">
        <v>62663065</v>
      </c>
      <c r="C27" s="231">
        <v>88062075</v>
      </c>
      <c r="D27" s="231">
        <v>161396583</v>
      </c>
      <c r="E27" s="231">
        <v>86403728</v>
      </c>
      <c r="F27" s="231">
        <v>224128529</v>
      </c>
      <c r="G27" s="231">
        <v>219094236</v>
      </c>
      <c r="H27" s="226"/>
    </row>
    <row r="28" spans="1:8" x14ac:dyDescent="0.3">
      <c r="A28" s="306" t="s">
        <v>136</v>
      </c>
      <c r="B28" s="231">
        <v>70128336</v>
      </c>
      <c r="C28" s="231">
        <v>100872272</v>
      </c>
      <c r="D28" s="231">
        <v>192180372</v>
      </c>
      <c r="E28" s="231">
        <v>118222910</v>
      </c>
      <c r="F28" s="231">
        <v>264196472</v>
      </c>
      <c r="G28" s="231">
        <v>231874942</v>
      </c>
      <c r="H28" s="226"/>
    </row>
    <row r="29" spans="1:8" x14ac:dyDescent="0.3">
      <c r="A29" s="306" t="s">
        <v>137</v>
      </c>
      <c r="B29" s="231">
        <v>74889586</v>
      </c>
      <c r="C29" s="231">
        <v>104715434</v>
      </c>
      <c r="D29" s="231">
        <v>220561879</v>
      </c>
      <c r="E29" s="231">
        <v>150448187</v>
      </c>
      <c r="F29" s="231">
        <v>306170367</v>
      </c>
      <c r="G29" s="231">
        <v>272294454</v>
      </c>
      <c r="H29" s="226"/>
    </row>
    <row r="30" spans="1:8" x14ac:dyDescent="0.3">
      <c r="A30" s="306" t="s">
        <v>138</v>
      </c>
      <c r="B30" s="231">
        <v>79665494</v>
      </c>
      <c r="C30" s="231">
        <v>108599866</v>
      </c>
      <c r="D30" s="231">
        <v>246416182</v>
      </c>
      <c r="E30" s="231">
        <v>185205077</v>
      </c>
      <c r="F30" s="231">
        <v>346660986</v>
      </c>
      <c r="G30" s="231">
        <v>305758301</v>
      </c>
      <c r="H30" s="226"/>
    </row>
    <row r="31" spans="1:8" x14ac:dyDescent="0.3">
      <c r="A31" s="306" t="s">
        <v>139</v>
      </c>
      <c r="B31" s="231">
        <v>86625461</v>
      </c>
      <c r="C31" s="231">
        <v>114875837</v>
      </c>
      <c r="D31" s="231">
        <v>275547369</v>
      </c>
      <c r="E31" s="231">
        <v>225373940</v>
      </c>
      <c r="F31" s="231">
        <v>397722052</v>
      </c>
      <c r="G31" s="231">
        <v>338605554</v>
      </c>
      <c r="H31" s="226"/>
    </row>
    <row r="32" spans="1:8" x14ac:dyDescent="0.3">
      <c r="A32" s="306" t="s">
        <v>140</v>
      </c>
      <c r="B32" s="231">
        <v>103763364</v>
      </c>
      <c r="C32" s="231">
        <v>120486821</v>
      </c>
      <c r="D32" s="231">
        <v>302354897</v>
      </c>
      <c r="E32" s="231">
        <v>262272102</v>
      </c>
      <c r="F32" s="231">
        <v>447465189</v>
      </c>
      <c r="G32" s="231">
        <v>360085294</v>
      </c>
      <c r="H32" s="226"/>
    </row>
    <row r="33" spans="1:8" x14ac:dyDescent="0.3">
      <c r="A33" s="323" t="s">
        <v>141</v>
      </c>
      <c r="B33" s="324">
        <v>124533615</v>
      </c>
      <c r="C33" s="324">
        <v>131998589</v>
      </c>
      <c r="D33" s="324">
        <v>329124918</v>
      </c>
      <c r="E33" s="324">
        <v>290726717</v>
      </c>
      <c r="F33" s="324">
        <v>495362301</v>
      </c>
      <c r="G33" s="324">
        <v>389064108</v>
      </c>
      <c r="H33" s="226"/>
    </row>
    <row r="34" spans="1:8" ht="21.6" x14ac:dyDescent="0.3">
      <c r="A34" s="325" t="s">
        <v>243</v>
      </c>
      <c r="B34" s="326">
        <f>B33/(B33+B19)</f>
        <v>0.13015190601457818</v>
      </c>
      <c r="C34" s="326">
        <f t="shared" ref="C34:G34" si="0">C33/(C33+C19)</f>
        <v>0.13077477174639426</v>
      </c>
      <c r="D34" s="326">
        <f t="shared" si="0"/>
        <v>0.30214686941559465</v>
      </c>
      <c r="E34" s="326">
        <f t="shared" si="0"/>
        <v>0.25922200636847709</v>
      </c>
      <c r="F34" s="326">
        <f t="shared" si="0"/>
        <v>0.45932020897025222</v>
      </c>
      <c r="G34" s="326">
        <f t="shared" si="0"/>
        <v>0.35110642464377068</v>
      </c>
      <c r="H34" s="226"/>
    </row>
    <row r="35" spans="1:8" x14ac:dyDescent="0.3">
      <c r="A35" s="305"/>
      <c r="B35" s="327"/>
      <c r="C35" s="327"/>
      <c r="D35" s="327"/>
      <c r="E35" s="327"/>
      <c r="F35" s="327"/>
      <c r="G35" s="327"/>
      <c r="H35" s="226"/>
    </row>
    <row r="36" spans="1:8" x14ac:dyDescent="0.3">
      <c r="A36" s="226"/>
      <c r="B36" s="226"/>
      <c r="C36" s="226"/>
      <c r="D36" s="226"/>
      <c r="E36" s="226"/>
      <c r="F36" s="226"/>
      <c r="G36" s="226"/>
      <c r="H36" s="226"/>
    </row>
    <row r="37" spans="1:8" ht="41.25" customHeight="1" x14ac:dyDescent="0.3">
      <c r="A37" s="394" t="s">
        <v>244</v>
      </c>
      <c r="B37" s="395"/>
      <c r="C37" s="395"/>
      <c r="D37" s="395"/>
      <c r="E37" s="395"/>
      <c r="F37" s="395"/>
      <c r="G37" s="395"/>
      <c r="H37" s="395"/>
    </row>
    <row r="39" spans="1:8" x14ac:dyDescent="0.3">
      <c r="A39" t="s">
        <v>245</v>
      </c>
    </row>
  </sheetData>
  <sheetProtection algorithmName="SHA-512" hashValue="8Y19tL7tyU/yBIcbEdbsCoRlzptJMUGYu+/b1xf83ra1ZGd3Glk2zYFj6qHY4mbW/zmgw7kTI0oxtfhcoQMimg==" saltValue="31hNTP7gxMytTsP0NHhIyA==" spinCount="100000" sheet="1" objects="1" scenarios="1" selectLockedCells="1" selectUnlockedCells="1"/>
  <mergeCells count="6">
    <mergeCell ref="A37:H37"/>
    <mergeCell ref="F3:H3"/>
    <mergeCell ref="A4:A6"/>
    <mergeCell ref="B4:C4"/>
    <mergeCell ref="D4:E4"/>
    <mergeCell ref="F4:G4"/>
  </mergeCells>
  <printOptions gridLines="1"/>
  <pageMargins left="0.7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3" sqref="A3"/>
    </sheetView>
  </sheetViews>
  <sheetFormatPr defaultRowHeight="14.4" x14ac:dyDescent="0.3"/>
  <cols>
    <col min="1" max="1" width="6.6640625" customWidth="1"/>
    <col min="2" max="2" width="15" bestFit="1" customWidth="1"/>
    <col min="3" max="3" width="15.6640625" bestFit="1" customWidth="1"/>
    <col min="4" max="4" width="15" customWidth="1"/>
    <col min="5" max="5" width="14.44140625" customWidth="1"/>
    <col min="6" max="6" width="7" bestFit="1" customWidth="1"/>
  </cols>
  <sheetData>
    <row r="1" spans="1:5" x14ac:dyDescent="0.3">
      <c r="A1" s="1" t="s">
        <v>246</v>
      </c>
    </row>
    <row r="3" spans="1:5" x14ac:dyDescent="0.3">
      <c r="A3" s="302" t="s">
        <v>253</v>
      </c>
    </row>
    <row r="4" spans="1:5" x14ac:dyDescent="0.3">
      <c r="A4" s="300"/>
      <c r="B4" s="300" t="s">
        <v>195</v>
      </c>
      <c r="C4" s="301" t="s">
        <v>196</v>
      </c>
      <c r="D4" s="301" t="s">
        <v>197</v>
      </c>
      <c r="E4" s="401" t="s">
        <v>198</v>
      </c>
    </row>
    <row r="5" spans="1:5" x14ac:dyDescent="0.3">
      <c r="A5" s="302" t="s">
        <v>36</v>
      </c>
      <c r="B5" s="302" t="s">
        <v>199</v>
      </c>
      <c r="C5" s="302" t="s">
        <v>199</v>
      </c>
      <c r="D5" s="302" t="s">
        <v>199</v>
      </c>
      <c r="E5" s="401"/>
    </row>
    <row r="6" spans="1:5" x14ac:dyDescent="0.3">
      <c r="A6">
        <v>2009</v>
      </c>
      <c r="B6" s="303">
        <v>1511520</v>
      </c>
      <c r="C6" s="303">
        <v>221910</v>
      </c>
      <c r="D6" s="303">
        <v>59560</v>
      </c>
      <c r="E6" s="304">
        <f t="shared" ref="E6:E11" si="0">(C6+D6)/(B6+C6+D6)</f>
        <v>0.15698358607688834</v>
      </c>
    </row>
    <row r="7" spans="1:5" x14ac:dyDescent="0.3">
      <c r="A7">
        <v>2010</v>
      </c>
      <c r="B7" s="303">
        <v>1562520</v>
      </c>
      <c r="C7" s="303">
        <v>253804</v>
      </c>
      <c r="D7" s="303">
        <v>71056</v>
      </c>
      <c r="E7" s="304">
        <f t="shared" si="0"/>
        <v>0.17212220114656296</v>
      </c>
    </row>
    <row r="8" spans="1:5" x14ac:dyDescent="0.3">
      <c r="A8">
        <v>2011</v>
      </c>
      <c r="B8" s="303">
        <v>1499480</v>
      </c>
      <c r="C8" s="303">
        <v>446017</v>
      </c>
      <c r="D8" s="303">
        <v>65787</v>
      </c>
      <c r="E8" s="304">
        <f t="shared" si="0"/>
        <v>0.25446630112903001</v>
      </c>
    </row>
    <row r="9" spans="1:5" x14ac:dyDescent="0.3">
      <c r="A9">
        <v>2012</v>
      </c>
      <c r="B9" s="303">
        <v>1764450</v>
      </c>
      <c r="C9" s="303">
        <v>380672</v>
      </c>
      <c r="D9" s="303">
        <v>58132</v>
      </c>
      <c r="E9" s="304">
        <f t="shared" si="0"/>
        <v>0.19916178525036152</v>
      </c>
    </row>
    <row r="10" spans="1:5" x14ac:dyDescent="0.3">
      <c r="A10">
        <v>2013</v>
      </c>
      <c r="B10" s="303">
        <v>1477860</v>
      </c>
      <c r="C10" s="303">
        <v>630689</v>
      </c>
      <c r="D10" s="303">
        <v>72053</v>
      </c>
      <c r="E10" s="304">
        <f t="shared" si="0"/>
        <v>0.32226972184745312</v>
      </c>
    </row>
    <row r="11" spans="1:5" x14ac:dyDescent="0.3">
      <c r="A11">
        <v>2014</v>
      </c>
      <c r="B11" s="303">
        <v>1764510</v>
      </c>
      <c r="C11" s="303">
        <v>543504</v>
      </c>
      <c r="D11" s="303">
        <v>103122</v>
      </c>
      <c r="E11" s="304">
        <f t="shared" si="0"/>
        <v>0.2681831302755216</v>
      </c>
    </row>
    <row r="13" spans="1:5" x14ac:dyDescent="0.3">
      <c r="A13" t="s">
        <v>200</v>
      </c>
    </row>
    <row r="14" spans="1:5" x14ac:dyDescent="0.3">
      <c r="A14" t="s">
        <v>201</v>
      </c>
    </row>
  </sheetData>
  <sheetProtection algorithmName="SHA-512" hashValue="/TuSLxhD8ve7oOy9fXWUvR9iA8qEJ/hI3uhjR3o6+uRdgVnpvf4ZgI9ZDzFQgl+IAmqQsfI1QHntUsMim5kTdQ==" saltValue="FtG9zjayGNpfBAtr+Abhow==" spinCount="100000" sheet="1" objects="1" scenarios="1" selectLockedCells="1" selectUnlockedCells="1"/>
  <mergeCells count="1">
    <mergeCell ref="E4:E5"/>
  </mergeCells>
  <printOptions gridLine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" sqref="A3"/>
    </sheetView>
  </sheetViews>
  <sheetFormatPr defaultRowHeight="14.4" x14ac:dyDescent="0.3"/>
  <cols>
    <col min="1" max="1" width="15.109375" customWidth="1"/>
    <col min="2" max="2" width="12.88671875" customWidth="1"/>
  </cols>
  <sheetData>
    <row r="1" spans="1:4" x14ac:dyDescent="0.3">
      <c r="A1" s="1" t="s">
        <v>247</v>
      </c>
    </row>
    <row r="2" spans="1:4" x14ac:dyDescent="0.3">
      <c r="A2" s="302" t="s">
        <v>207</v>
      </c>
    </row>
    <row r="4" spans="1:4" x14ac:dyDescent="0.3">
      <c r="B4" s="402" t="s">
        <v>208</v>
      </c>
      <c r="D4" s="403" t="s">
        <v>209</v>
      </c>
    </row>
    <row r="5" spans="1:4" x14ac:dyDescent="0.3">
      <c r="A5" s="308" t="s">
        <v>210</v>
      </c>
      <c r="B5" s="402"/>
      <c r="D5" s="403"/>
    </row>
    <row r="6" spans="1:4" x14ac:dyDescent="0.3">
      <c r="A6" t="s">
        <v>211</v>
      </c>
      <c r="B6" s="309">
        <v>100</v>
      </c>
      <c r="D6" s="310">
        <v>100</v>
      </c>
    </row>
    <row r="7" spans="1:4" x14ac:dyDescent="0.3">
      <c r="A7" t="s">
        <v>57</v>
      </c>
      <c r="B7">
        <v>3.68</v>
      </c>
      <c r="D7">
        <f>B7+ (2*0.29)</f>
        <v>4.26</v>
      </c>
    </row>
    <row r="8" spans="1:4" x14ac:dyDescent="0.3">
      <c r="A8" t="s">
        <v>212</v>
      </c>
      <c r="B8">
        <v>3.09</v>
      </c>
      <c r="D8">
        <f>B8+(2*0.16)</f>
        <v>3.4099999999999997</v>
      </c>
    </row>
    <row r="9" spans="1:4" x14ac:dyDescent="0.3">
      <c r="A9" t="s">
        <v>213</v>
      </c>
      <c r="B9" s="297">
        <f>B8+0.19</f>
        <v>3.28</v>
      </c>
      <c r="D9" s="297">
        <f>D8+0.19</f>
        <v>3.5999999999999996</v>
      </c>
    </row>
    <row r="10" spans="1:4" x14ac:dyDescent="0.3">
      <c r="A10" t="s">
        <v>59</v>
      </c>
      <c r="B10">
        <v>5.78</v>
      </c>
      <c r="D10">
        <f>B10+(2*0.09)</f>
        <v>5.96</v>
      </c>
    </row>
    <row r="11" spans="1:4" x14ac:dyDescent="0.3">
      <c r="A11" t="s">
        <v>214</v>
      </c>
      <c r="B11">
        <f>B10+B8+B7</f>
        <v>12.55</v>
      </c>
      <c r="D11">
        <f>D10+D8+D7</f>
        <v>13.629999999999999</v>
      </c>
    </row>
    <row r="12" spans="1:4" x14ac:dyDescent="0.3">
      <c r="A12" t="s">
        <v>15</v>
      </c>
      <c r="B12">
        <f>B11-B7</f>
        <v>8.870000000000001</v>
      </c>
      <c r="D12">
        <f>D11-D7</f>
        <v>9.3699999999999992</v>
      </c>
    </row>
    <row r="14" spans="1:4" x14ac:dyDescent="0.3">
      <c r="A14" s="308" t="s">
        <v>215</v>
      </c>
    </row>
    <row r="15" spans="1:4" x14ac:dyDescent="0.3">
      <c r="A15" t="s">
        <v>216</v>
      </c>
      <c r="B15" s="297">
        <f>(B7-B23)/0.4</f>
        <v>9.0750000000000011</v>
      </c>
      <c r="D15" s="297">
        <f>(D7-D23)/0.4</f>
        <v>10.524999999999999</v>
      </c>
    </row>
    <row r="16" spans="1:4" x14ac:dyDescent="0.3">
      <c r="A16" t="s">
        <v>57</v>
      </c>
      <c r="B16">
        <f>B15*0.4</f>
        <v>3.6300000000000008</v>
      </c>
      <c r="D16">
        <f>D15*0.4</f>
        <v>4.21</v>
      </c>
    </row>
    <row r="17" spans="1:4" x14ac:dyDescent="0.3">
      <c r="A17" t="s">
        <v>212</v>
      </c>
      <c r="B17" s="297">
        <f>(B15-B16)*(B8/(B6-B7))</f>
        <v>0.17467867524916944</v>
      </c>
      <c r="D17" s="297">
        <f>(D15-D16)*(D8/(D6-D7))</f>
        <v>0.22492322958011277</v>
      </c>
    </row>
    <row r="18" spans="1:4" x14ac:dyDescent="0.3">
      <c r="A18" t="s">
        <v>213</v>
      </c>
      <c r="B18" s="297">
        <f>(B15-B16)*(B9/(B6-B9))</f>
        <v>0.1846526054590571</v>
      </c>
      <c r="D18" s="297">
        <f>(D15-D16)*(D9/(D6-D9))</f>
        <v>0.2358298755186721</v>
      </c>
    </row>
    <row r="19" spans="1:4" x14ac:dyDescent="0.3">
      <c r="A19" t="s">
        <v>15</v>
      </c>
      <c r="B19" s="297">
        <f>(B15-B16)*(B12/(B6-B12))</f>
        <v>0.52998079666410636</v>
      </c>
      <c r="D19" s="297">
        <f>(D15-D16)*(D12/(D6-D12))</f>
        <v>0.65289142667990718</v>
      </c>
    </row>
    <row r="21" spans="1:4" x14ac:dyDescent="0.3">
      <c r="A21" s="302" t="s">
        <v>217</v>
      </c>
    </row>
    <row r="22" spans="1:4" x14ac:dyDescent="0.3">
      <c r="A22" s="309" t="s">
        <v>218</v>
      </c>
      <c r="B22" s="297">
        <f>B6-B15</f>
        <v>90.924999999999997</v>
      </c>
      <c r="D22" s="297">
        <f>D6-D15</f>
        <v>89.474999999999994</v>
      </c>
    </row>
    <row r="23" spans="1:4" x14ac:dyDescent="0.3">
      <c r="A23" t="s">
        <v>19</v>
      </c>
      <c r="B23">
        <v>0.05</v>
      </c>
      <c r="D23">
        <v>0.05</v>
      </c>
    </row>
    <row r="24" spans="1:4" x14ac:dyDescent="0.3">
      <c r="A24" t="s">
        <v>212</v>
      </c>
      <c r="B24" s="297">
        <f>B8-B17</f>
        <v>2.9153213247508303</v>
      </c>
      <c r="D24" s="297">
        <f>D8-D17</f>
        <v>3.185076770419887</v>
      </c>
    </row>
    <row r="25" spans="1:4" x14ac:dyDescent="0.3">
      <c r="A25" t="s">
        <v>213</v>
      </c>
      <c r="B25" s="297">
        <f>B9-B18</f>
        <v>3.0953473945409429</v>
      </c>
      <c r="D25" s="297">
        <f>D9-D18</f>
        <v>3.3641701244813276</v>
      </c>
    </row>
    <row r="26" spans="1:4" x14ac:dyDescent="0.3">
      <c r="A26" t="s">
        <v>15</v>
      </c>
      <c r="B26" s="297">
        <f>B12-B19</f>
        <v>8.3400192033358955</v>
      </c>
      <c r="D26" s="297">
        <f>D12-D19</f>
        <v>8.7171085733200915</v>
      </c>
    </row>
    <row r="28" spans="1:4" x14ac:dyDescent="0.3">
      <c r="A28" t="s">
        <v>219</v>
      </c>
      <c r="B28" s="297">
        <f>B26/0.95</f>
        <v>8.7789675824588382</v>
      </c>
      <c r="D28" s="297">
        <f>D26/0.95</f>
        <v>9.17590376138957</v>
      </c>
    </row>
    <row r="29" spans="1:4" x14ac:dyDescent="0.3">
      <c r="A29" t="s">
        <v>220</v>
      </c>
    </row>
    <row r="31" spans="1:4" x14ac:dyDescent="0.3">
      <c r="A31" t="s">
        <v>221</v>
      </c>
      <c r="B31" s="304">
        <f>B25/B28</f>
        <v>0.35258672109983907</v>
      </c>
      <c r="D31" s="304">
        <f>D25/D28</f>
        <v>0.36663092943902764</v>
      </c>
    </row>
    <row r="33" spans="1:4" x14ac:dyDescent="0.3">
      <c r="A33" t="s">
        <v>222</v>
      </c>
      <c r="B33" s="297">
        <f>(B25/0.34)/0.95</f>
        <v>9.5831188685478121</v>
      </c>
      <c r="D33" s="297">
        <f>(D25/0.34)/0.95</f>
        <v>10.415387382295133</v>
      </c>
    </row>
    <row r="34" spans="1:4" x14ac:dyDescent="0.3">
      <c r="A34" t="s">
        <v>223</v>
      </c>
    </row>
  </sheetData>
  <sheetProtection algorithmName="SHA-512" hashValue="Jp17b6oeyHbyuOdtLN+IriXM/g0vZv1iziKiLsyAZc9SxvtpgXYU46UoCO0wAtLmBD2clJHBb+wP11tpKfKC9Q==" saltValue="qKliuV1sH9VH0SfrG290ig==" spinCount="100000" sheet="1" objects="1" scenarios="1" selectLockedCells="1" selectUnlockedCells="1"/>
  <mergeCells count="2">
    <mergeCell ref="B4:B5"/>
    <mergeCell ref="D4:D5"/>
  </mergeCells>
  <printOptions gridLine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workbookViewId="0">
      <selection activeCell="C1" sqref="C1"/>
    </sheetView>
  </sheetViews>
  <sheetFormatPr defaultColWidth="17.44140625" defaultRowHeight="12" x14ac:dyDescent="0.3"/>
  <cols>
    <col min="1" max="1" width="5.88671875" style="10" bestFit="1" customWidth="1"/>
    <col min="2" max="2" width="6.88671875" style="10" customWidth="1"/>
    <col min="3" max="3" width="11.109375" style="10" customWidth="1"/>
    <col min="4" max="4" width="13" style="10" customWidth="1"/>
    <col min="5" max="5" width="12.5546875" style="10" customWidth="1"/>
    <col min="6" max="6" width="14" style="10" customWidth="1"/>
    <col min="7" max="7" width="12.5546875" style="10" customWidth="1"/>
    <col min="8" max="8" width="11.6640625" style="159" customWidth="1"/>
    <col min="9" max="9" width="10.88671875" style="10" customWidth="1"/>
    <col min="10" max="10" width="13.6640625" style="10" customWidth="1"/>
    <col min="11" max="11" width="8.44140625" style="10" customWidth="1"/>
    <col min="12" max="12" width="13.33203125" style="10" customWidth="1"/>
    <col min="13" max="13" width="7.109375" style="10" customWidth="1"/>
    <col min="14" max="14" width="12.88671875" style="10" customWidth="1"/>
    <col min="15" max="15" width="12.44140625" style="10" customWidth="1"/>
    <col min="16" max="16" width="12" style="10" bestFit="1" customWidth="1"/>
    <col min="17" max="17" width="12.109375" style="10" customWidth="1"/>
    <col min="18" max="16384" width="17.44140625" style="10"/>
  </cols>
  <sheetData>
    <row r="1" spans="1:18" x14ac:dyDescent="0.3">
      <c r="A1" s="134" t="s">
        <v>248</v>
      </c>
    </row>
    <row r="2" spans="1:18" s="134" customFormat="1" ht="17.25" customHeight="1" thickBot="1" x14ac:dyDescent="0.35">
      <c r="A2" s="405" t="s">
        <v>39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171"/>
    </row>
    <row r="3" spans="1:18" s="134" customFormat="1" x14ac:dyDescent="0.3">
      <c r="C3" s="407" t="s">
        <v>16</v>
      </c>
      <c r="D3" s="408"/>
      <c r="E3" s="408"/>
      <c r="F3" s="409"/>
      <c r="H3" s="160"/>
    </row>
    <row r="4" spans="1:18" s="134" customFormat="1" ht="9.75" customHeight="1" thickBot="1" x14ac:dyDescent="0.35">
      <c r="A4" s="329"/>
      <c r="B4" s="331"/>
      <c r="C4" s="410" t="s">
        <v>27</v>
      </c>
      <c r="D4" s="411"/>
      <c r="E4" s="410" t="s">
        <v>29</v>
      </c>
      <c r="F4" s="412"/>
      <c r="G4" s="358"/>
      <c r="H4" s="359"/>
      <c r="I4" s="358"/>
      <c r="J4" s="358"/>
      <c r="K4" s="358"/>
      <c r="L4" s="358"/>
      <c r="M4" s="414" t="s">
        <v>150</v>
      </c>
      <c r="N4" s="414" t="s">
        <v>151</v>
      </c>
      <c r="O4" s="414" t="s">
        <v>97</v>
      </c>
      <c r="P4" s="358"/>
      <c r="Q4" s="358"/>
    </row>
    <row r="5" spans="1:18" ht="33" customHeight="1" thickBot="1" x14ac:dyDescent="0.35">
      <c r="A5" s="328" t="s">
        <v>36</v>
      </c>
      <c r="B5" s="330" t="s">
        <v>37</v>
      </c>
      <c r="C5" s="172" t="s">
        <v>31</v>
      </c>
      <c r="D5" s="173" t="s">
        <v>42</v>
      </c>
      <c r="E5" s="172" t="s">
        <v>31</v>
      </c>
      <c r="F5" s="173" t="s">
        <v>42</v>
      </c>
      <c r="G5" s="360" t="s">
        <v>94</v>
      </c>
      <c r="H5" s="361" t="s">
        <v>161</v>
      </c>
      <c r="I5" s="360" t="s">
        <v>95</v>
      </c>
      <c r="J5" s="360" t="s">
        <v>96</v>
      </c>
      <c r="K5" s="360" t="s">
        <v>149</v>
      </c>
      <c r="L5" s="360" t="s">
        <v>155</v>
      </c>
      <c r="M5" s="415"/>
      <c r="N5" s="415"/>
      <c r="O5" s="415"/>
      <c r="P5" s="360" t="s">
        <v>98</v>
      </c>
      <c r="Q5" s="360" t="s">
        <v>99</v>
      </c>
    </row>
    <row r="6" spans="1:18" x14ac:dyDescent="0.3">
      <c r="A6" s="174">
        <v>2009</v>
      </c>
      <c r="B6" s="356" t="s">
        <v>255</v>
      </c>
      <c r="C6" s="175">
        <v>329746</v>
      </c>
      <c r="D6" s="176">
        <v>-65454.58</v>
      </c>
      <c r="E6" s="175">
        <v>5289675</v>
      </c>
      <c r="F6" s="177">
        <v>-522090.93</v>
      </c>
      <c r="G6" s="161">
        <f t="shared" ref="G6:G37" si="0">C6+E6</f>
        <v>5619421</v>
      </c>
      <c r="H6" s="159">
        <v>587545.51</v>
      </c>
      <c r="I6" s="162">
        <f>'PPD Estimations 09-14'!M6</f>
        <v>48139543</v>
      </c>
      <c r="J6" s="161">
        <f>I6-G6</f>
        <v>42520122</v>
      </c>
      <c r="K6" s="163">
        <f>J6/(J6+'PPD Estimations 09-14'!L6)</f>
        <v>8.9436839732505782E-2</v>
      </c>
      <c r="L6" s="164">
        <f>(J6+'PPD Estimations 09-14'!L6)/(1-'PPD Estimations 09-14'!W6)</f>
        <v>493968055.29639995</v>
      </c>
      <c r="M6" s="163">
        <f>K6+(2*0.0018)</f>
        <v>9.3036839732505788E-2</v>
      </c>
      <c r="N6" s="164">
        <f>L6*M6</f>
        <v>45957226.79358872</v>
      </c>
      <c r="O6" s="165">
        <f>I6-N6</f>
        <v>2182316.2064112797</v>
      </c>
      <c r="P6" s="159">
        <f>O6*0.0987</f>
        <v>215394.6095727933</v>
      </c>
      <c r="Q6" s="169">
        <f>H6-P6</f>
        <v>372150.90042720671</v>
      </c>
      <c r="R6" s="198"/>
    </row>
    <row r="7" spans="1:18" x14ac:dyDescent="0.3">
      <c r="A7" s="174">
        <v>2009</v>
      </c>
      <c r="B7" s="356" t="s">
        <v>256</v>
      </c>
      <c r="C7" s="175">
        <v>224660</v>
      </c>
      <c r="D7" s="176">
        <v>-1303.02</v>
      </c>
      <c r="E7" s="175">
        <v>5064620</v>
      </c>
      <c r="F7" s="177">
        <v>-499877.98</v>
      </c>
      <c r="G7" s="161">
        <f t="shared" si="0"/>
        <v>5289280</v>
      </c>
      <c r="H7" s="159">
        <v>501181</v>
      </c>
      <c r="I7" s="162">
        <f>'PPD Estimations 09-14'!M7</f>
        <v>44785902</v>
      </c>
      <c r="J7" s="161">
        <f t="shared" ref="J7:J43" si="1">I7-G7</f>
        <v>39496622</v>
      </c>
      <c r="K7" s="163">
        <f>J7/(J7+'PPD Estimations 09-14'!L7)</f>
        <v>8.9223526260409913E-2</v>
      </c>
      <c r="L7" s="164">
        <f t="shared" ref="L7:L72" si="2">J7/K7</f>
        <v>442670489</v>
      </c>
      <c r="M7" s="163">
        <f t="shared" ref="M7:M17" si="3">K7+(2*0.0018)</f>
        <v>9.2823526260409919E-2</v>
      </c>
      <c r="N7" s="164">
        <f t="shared" ref="N7:N72" si="4">L7*M7</f>
        <v>41090235.760399997</v>
      </c>
      <c r="O7" s="165">
        <f t="shared" ref="O7:O31" si="5">I7-N7</f>
        <v>3695666.2396000028</v>
      </c>
      <c r="P7" s="159">
        <f t="shared" ref="P7:P44" si="6">O7*0.0987</f>
        <v>364762.25784852024</v>
      </c>
      <c r="Q7" s="169">
        <f t="shared" ref="Q7:Q30" si="7">H7-P7</f>
        <v>136418.74215147976</v>
      </c>
      <c r="R7" s="198"/>
    </row>
    <row r="8" spans="1:18" x14ac:dyDescent="0.3">
      <c r="A8" s="174">
        <v>2009</v>
      </c>
      <c r="B8" s="356" t="s">
        <v>257</v>
      </c>
      <c r="C8" s="175">
        <v>254862</v>
      </c>
      <c r="D8" s="176">
        <v>-1121.3800000000001</v>
      </c>
      <c r="E8" s="175">
        <v>5633469</v>
      </c>
      <c r="F8" s="177">
        <v>-556023.4</v>
      </c>
      <c r="G8" s="161">
        <f t="shared" si="0"/>
        <v>5888331</v>
      </c>
      <c r="H8" s="159">
        <v>557144.78</v>
      </c>
      <c r="I8" s="162">
        <f>'PPD Estimations 09-14'!M8</f>
        <v>48816390</v>
      </c>
      <c r="J8" s="161">
        <f t="shared" si="1"/>
        <v>42928059</v>
      </c>
      <c r="K8" s="163">
        <f>J8/(J8+'PPD Estimations 09-14'!L8)</f>
        <v>8.8948481701978957E-2</v>
      </c>
      <c r="L8" s="164">
        <f t="shared" si="2"/>
        <v>482617108</v>
      </c>
      <c r="M8" s="163">
        <f t="shared" si="3"/>
        <v>9.2548481701978963E-2</v>
      </c>
      <c r="N8" s="164">
        <f t="shared" si="4"/>
        <v>44665480.588800006</v>
      </c>
      <c r="O8" s="165">
        <f t="shared" si="5"/>
        <v>4150909.4111999944</v>
      </c>
      <c r="P8" s="159">
        <f t="shared" si="6"/>
        <v>409694.75888543943</v>
      </c>
      <c r="Q8" s="169">
        <f t="shared" si="7"/>
        <v>147450.0211145606</v>
      </c>
      <c r="R8" s="198"/>
    </row>
    <row r="9" spans="1:18" x14ac:dyDescent="0.3">
      <c r="A9" s="174">
        <v>2009</v>
      </c>
      <c r="B9" s="356" t="s">
        <v>258</v>
      </c>
      <c r="C9" s="175">
        <v>202211</v>
      </c>
      <c r="D9" s="176">
        <v>-3943.11</v>
      </c>
      <c r="E9" s="175">
        <v>5310762</v>
      </c>
      <c r="F9" s="177">
        <v>-524172.19</v>
      </c>
      <c r="G9" s="161">
        <f t="shared" si="0"/>
        <v>5512973</v>
      </c>
      <c r="H9" s="159">
        <v>528115.30000000005</v>
      </c>
      <c r="I9" s="162">
        <f>'PPD Estimations 09-14'!M9</f>
        <v>47087691</v>
      </c>
      <c r="J9" s="161">
        <f t="shared" si="1"/>
        <v>41574718</v>
      </c>
      <c r="K9" s="163">
        <f>J9/(J9+'PPD Estimations 09-14'!L9)</f>
        <v>8.9002277953561054E-2</v>
      </c>
      <c r="L9" s="164">
        <f t="shared" si="2"/>
        <v>467119707</v>
      </c>
      <c r="M9" s="163">
        <f t="shared" si="3"/>
        <v>9.260227795356106E-2</v>
      </c>
      <c r="N9" s="164">
        <f t="shared" si="4"/>
        <v>43256348.945200004</v>
      </c>
      <c r="O9" s="165">
        <f t="shared" si="5"/>
        <v>3831342.0547999963</v>
      </c>
      <c r="P9" s="159">
        <f t="shared" si="6"/>
        <v>378153.46080875961</v>
      </c>
      <c r="Q9" s="169">
        <f t="shared" si="7"/>
        <v>149961.83919124043</v>
      </c>
      <c r="R9" s="198"/>
    </row>
    <row r="10" spans="1:18" x14ac:dyDescent="0.3">
      <c r="A10" s="174">
        <v>2009</v>
      </c>
      <c r="B10" s="356" t="s">
        <v>6</v>
      </c>
      <c r="C10" s="175">
        <v>207686</v>
      </c>
      <c r="D10" s="176">
        <v>-21163.200000000001</v>
      </c>
      <c r="E10" s="175">
        <v>5674974</v>
      </c>
      <c r="F10" s="177">
        <v>-560119.93999999994</v>
      </c>
      <c r="G10" s="161">
        <f t="shared" si="0"/>
        <v>5882660</v>
      </c>
      <c r="H10" s="159">
        <v>581283.1399999999</v>
      </c>
      <c r="I10" s="162">
        <f>'PPD Estimations 09-14'!M10</f>
        <v>47014319</v>
      </c>
      <c r="J10" s="161">
        <f t="shared" si="1"/>
        <v>41131659</v>
      </c>
      <c r="K10" s="163">
        <f>J10/(J10+'PPD Estimations 09-14'!L10)</f>
        <v>8.8338053504980502E-2</v>
      </c>
      <c r="L10" s="164">
        <f t="shared" si="2"/>
        <v>465616542</v>
      </c>
      <c r="M10" s="163">
        <f t="shared" si="3"/>
        <v>9.1938053504980508E-2</v>
      </c>
      <c r="N10" s="164">
        <f t="shared" si="4"/>
        <v>42807878.551200002</v>
      </c>
      <c r="O10" s="165">
        <f t="shared" si="5"/>
        <v>4206440.4487999976</v>
      </c>
      <c r="P10" s="159">
        <f t="shared" si="6"/>
        <v>415175.67229655973</v>
      </c>
      <c r="Q10" s="169">
        <f t="shared" si="7"/>
        <v>166107.46770344017</v>
      </c>
      <c r="R10" s="198"/>
    </row>
    <row r="11" spans="1:18" x14ac:dyDescent="0.3">
      <c r="A11" s="174">
        <v>2009</v>
      </c>
      <c r="B11" s="356" t="s">
        <v>7</v>
      </c>
      <c r="C11" s="175">
        <v>211918</v>
      </c>
      <c r="D11" s="176">
        <v>0</v>
      </c>
      <c r="E11" s="175">
        <v>5570075</v>
      </c>
      <c r="F11" s="177">
        <v>-549766.38</v>
      </c>
      <c r="G11" s="161">
        <f t="shared" si="0"/>
        <v>5781993</v>
      </c>
      <c r="H11" s="159">
        <v>549766.38</v>
      </c>
      <c r="I11" s="162">
        <f>'PPD Estimations 09-14'!M11</f>
        <v>45205965</v>
      </c>
      <c r="J11" s="161">
        <f t="shared" si="1"/>
        <v>39423972</v>
      </c>
      <c r="K11" s="163">
        <f>J11/(J11+'PPD Estimations 09-14'!L11)</f>
        <v>8.8005284803253633E-2</v>
      </c>
      <c r="L11" s="164">
        <f t="shared" si="2"/>
        <v>447972779</v>
      </c>
      <c r="M11" s="163">
        <f t="shared" si="3"/>
        <v>9.1605284803253639E-2</v>
      </c>
      <c r="N11" s="164">
        <f t="shared" si="4"/>
        <v>41036674.0044</v>
      </c>
      <c r="O11" s="165">
        <f t="shared" si="5"/>
        <v>4169290.9956</v>
      </c>
      <c r="P11" s="159">
        <f t="shared" si="6"/>
        <v>411509.02126571996</v>
      </c>
      <c r="Q11" s="169">
        <f t="shared" si="7"/>
        <v>138257.35873428005</v>
      </c>
      <c r="R11" s="198"/>
    </row>
    <row r="12" spans="1:18" x14ac:dyDescent="0.3">
      <c r="A12" s="174">
        <v>2009</v>
      </c>
      <c r="B12" s="356" t="s">
        <v>8</v>
      </c>
      <c r="C12" s="175">
        <v>244919</v>
      </c>
      <c r="D12" s="176">
        <v>0</v>
      </c>
      <c r="E12" s="175">
        <v>5913916</v>
      </c>
      <c r="F12" s="177">
        <v>-583703.52</v>
      </c>
      <c r="G12" s="161">
        <f t="shared" si="0"/>
        <v>6158835</v>
      </c>
      <c r="H12" s="159">
        <v>583703.52</v>
      </c>
      <c r="I12" s="162">
        <f>'PPD Estimations 09-14'!M12</f>
        <v>46371013</v>
      </c>
      <c r="J12" s="161">
        <f t="shared" si="1"/>
        <v>40212178</v>
      </c>
      <c r="K12" s="163">
        <f>J12/(J12+'PPD Estimations 09-14'!L12)</f>
        <v>8.7861856724274739E-2</v>
      </c>
      <c r="L12" s="164">
        <f t="shared" si="2"/>
        <v>457675031</v>
      </c>
      <c r="M12" s="163">
        <f t="shared" si="3"/>
        <v>9.1461856724274745E-2</v>
      </c>
      <c r="N12" s="164">
        <f t="shared" si="4"/>
        <v>41859808.111600004</v>
      </c>
      <c r="O12" s="165">
        <f t="shared" si="5"/>
        <v>4511204.8883999959</v>
      </c>
      <c r="P12" s="159">
        <f t="shared" si="6"/>
        <v>445255.92248507956</v>
      </c>
      <c r="Q12" s="169">
        <f t="shared" si="7"/>
        <v>138447.59751492046</v>
      </c>
      <c r="R12" s="198"/>
    </row>
    <row r="13" spans="1:18" x14ac:dyDescent="0.3">
      <c r="A13" s="174">
        <v>2009</v>
      </c>
      <c r="B13" s="356" t="s">
        <v>259</v>
      </c>
      <c r="C13" s="175">
        <v>227467</v>
      </c>
      <c r="D13" s="176">
        <v>0</v>
      </c>
      <c r="E13" s="175">
        <v>5953151</v>
      </c>
      <c r="F13" s="177">
        <v>-587575.99</v>
      </c>
      <c r="G13" s="161">
        <f t="shared" si="0"/>
        <v>6180618</v>
      </c>
      <c r="H13" s="159">
        <v>587575.99</v>
      </c>
      <c r="I13" s="162">
        <f>'PPD Estimations 09-14'!M13</f>
        <v>47623680</v>
      </c>
      <c r="J13" s="161">
        <f t="shared" si="1"/>
        <v>41443062</v>
      </c>
      <c r="K13" s="163">
        <f>J13/(J13+'PPD Estimations 09-14'!L13)</f>
        <v>8.7779446476003942E-2</v>
      </c>
      <c r="L13" s="164">
        <f t="shared" si="2"/>
        <v>472127174</v>
      </c>
      <c r="M13" s="163">
        <f t="shared" si="3"/>
        <v>9.1379446476003948E-2</v>
      </c>
      <c r="N13" s="164">
        <f t="shared" si="4"/>
        <v>43142719.826400004</v>
      </c>
      <c r="O13" s="165">
        <f t="shared" si="5"/>
        <v>4480960.1735999957</v>
      </c>
      <c r="P13" s="159">
        <f t="shared" si="6"/>
        <v>442270.76913431956</v>
      </c>
      <c r="Q13" s="169">
        <f t="shared" si="7"/>
        <v>145305.22086568043</v>
      </c>
      <c r="R13" s="198"/>
    </row>
    <row r="14" spans="1:18" x14ac:dyDescent="0.3">
      <c r="A14" s="174">
        <v>2009</v>
      </c>
      <c r="B14" s="356" t="s">
        <v>260</v>
      </c>
      <c r="C14" s="175">
        <v>219031</v>
      </c>
      <c r="D14" s="176">
        <v>0</v>
      </c>
      <c r="E14" s="175">
        <v>5782101</v>
      </c>
      <c r="F14" s="177">
        <v>-570693.39</v>
      </c>
      <c r="G14" s="161">
        <f t="shared" si="0"/>
        <v>6001132</v>
      </c>
      <c r="H14" s="159">
        <v>570693.39</v>
      </c>
      <c r="I14" s="162">
        <f>'PPD Estimations 09-14'!M14</f>
        <v>48132799</v>
      </c>
      <c r="J14" s="161">
        <f t="shared" si="1"/>
        <v>42131667</v>
      </c>
      <c r="K14" s="163">
        <f>J14/(J14+'PPD Estimations 09-14'!L14)</f>
        <v>8.8199251899387224E-2</v>
      </c>
      <c r="L14" s="164">
        <f t="shared" si="2"/>
        <v>477687351</v>
      </c>
      <c r="M14" s="163">
        <f t="shared" si="3"/>
        <v>9.179925189938723E-2</v>
      </c>
      <c r="N14" s="164">
        <f t="shared" si="4"/>
        <v>43851341.463600002</v>
      </c>
      <c r="O14" s="165">
        <f t="shared" si="5"/>
        <v>4281457.5363999978</v>
      </c>
      <c r="P14" s="159">
        <f t="shared" si="6"/>
        <v>422579.85884267977</v>
      </c>
      <c r="Q14" s="169">
        <f t="shared" si="7"/>
        <v>148113.53115732025</v>
      </c>
      <c r="R14" s="198"/>
    </row>
    <row r="15" spans="1:18" x14ac:dyDescent="0.3">
      <c r="A15" s="174">
        <v>2009</v>
      </c>
      <c r="B15" s="356" t="s">
        <v>261</v>
      </c>
      <c r="C15" s="175">
        <v>185367</v>
      </c>
      <c r="D15" s="176">
        <v>-6302.47</v>
      </c>
      <c r="E15" s="175">
        <v>5604247</v>
      </c>
      <c r="F15" s="177">
        <v>-553139.19999999995</v>
      </c>
      <c r="G15" s="161">
        <f t="shared" si="0"/>
        <v>5789614</v>
      </c>
      <c r="H15" s="159">
        <v>559441.66999999993</v>
      </c>
      <c r="I15" s="162">
        <f>'PPD Estimations 09-14'!M15</f>
        <v>49967476</v>
      </c>
      <c r="J15" s="161">
        <f t="shared" si="1"/>
        <v>44177862</v>
      </c>
      <c r="K15" s="163">
        <f>J15/(J15+'PPD Estimations 09-14'!L15)</f>
        <v>8.9223595128824856E-2</v>
      </c>
      <c r="L15" s="164">
        <f t="shared" si="2"/>
        <v>495136537.99999994</v>
      </c>
      <c r="M15" s="163">
        <f t="shared" si="3"/>
        <v>9.2823595128824862E-2</v>
      </c>
      <c r="N15" s="164">
        <f t="shared" si="4"/>
        <v>45960353.536799997</v>
      </c>
      <c r="O15" s="165">
        <f t="shared" si="5"/>
        <v>4007122.4632000029</v>
      </c>
      <c r="P15" s="159">
        <f t="shared" si="6"/>
        <v>395502.98711784027</v>
      </c>
      <c r="Q15" s="169">
        <f t="shared" si="7"/>
        <v>163938.68288215966</v>
      </c>
      <c r="R15" s="198"/>
    </row>
    <row r="16" spans="1:18" x14ac:dyDescent="0.3">
      <c r="A16" s="174">
        <v>2009</v>
      </c>
      <c r="B16" s="356" t="s">
        <v>262</v>
      </c>
      <c r="C16" s="175">
        <v>225110</v>
      </c>
      <c r="D16" s="176">
        <v>-8599.2000000000007</v>
      </c>
      <c r="E16" s="175">
        <v>5314163</v>
      </c>
      <c r="F16" s="177">
        <v>-524507.89</v>
      </c>
      <c r="G16" s="161">
        <f t="shared" si="0"/>
        <v>5539273</v>
      </c>
      <c r="H16" s="159">
        <v>533107.09</v>
      </c>
      <c r="I16" s="162">
        <f>'PPD Estimations 09-14'!M16</f>
        <v>49075155</v>
      </c>
      <c r="J16" s="161">
        <f t="shared" si="1"/>
        <v>43535882</v>
      </c>
      <c r="K16" s="163">
        <f>J16/(J16+'PPD Estimations 09-14'!L16)</f>
        <v>9.0145932862317618E-2</v>
      </c>
      <c r="L16" s="164">
        <f t="shared" si="2"/>
        <v>482948932.00000006</v>
      </c>
      <c r="M16" s="163">
        <f t="shared" si="3"/>
        <v>9.3745932862317624E-2</v>
      </c>
      <c r="N16" s="164">
        <f t="shared" si="4"/>
        <v>45274498.155200005</v>
      </c>
      <c r="O16" s="165">
        <f t="shared" si="5"/>
        <v>3800656.8447999954</v>
      </c>
      <c r="P16" s="159">
        <f t="shared" si="6"/>
        <v>375124.83058175951</v>
      </c>
      <c r="Q16" s="169">
        <f t="shared" si="7"/>
        <v>157982.25941824046</v>
      </c>
      <c r="R16" s="198"/>
    </row>
    <row r="17" spans="1:18" s="134" customFormat="1" ht="12.6" thickBot="1" x14ac:dyDescent="0.35">
      <c r="A17" s="178">
        <v>2009</v>
      </c>
      <c r="B17" s="357" t="s">
        <v>263</v>
      </c>
      <c r="C17" s="179">
        <v>222775</v>
      </c>
      <c r="D17" s="180">
        <v>0</v>
      </c>
      <c r="E17" s="179">
        <v>5366933</v>
      </c>
      <c r="F17" s="181">
        <v>-529716.30000000005</v>
      </c>
      <c r="G17" s="161">
        <f t="shared" si="0"/>
        <v>5589708</v>
      </c>
      <c r="H17" s="159">
        <v>529716.30000000005</v>
      </c>
      <c r="I17" s="162">
        <f>'PPD Estimations 09-14'!M17</f>
        <v>50131477</v>
      </c>
      <c r="J17" s="161">
        <f t="shared" si="1"/>
        <v>44541769</v>
      </c>
      <c r="K17" s="163">
        <f>J17/(J17+'PPD Estimations 09-14'!L17)</f>
        <v>8.9760797036805437E-2</v>
      </c>
      <c r="L17" s="164">
        <f t="shared" si="2"/>
        <v>496227423</v>
      </c>
      <c r="M17" s="163">
        <f t="shared" si="3"/>
        <v>9.3360797036805443E-2</v>
      </c>
      <c r="N17" s="164">
        <f t="shared" si="4"/>
        <v>46328187.722800002</v>
      </c>
      <c r="O17" s="165">
        <f t="shared" si="5"/>
        <v>3803289.2771999985</v>
      </c>
      <c r="P17" s="159">
        <f t="shared" si="6"/>
        <v>375384.65165963984</v>
      </c>
      <c r="Q17" s="169">
        <f t="shared" si="7"/>
        <v>154331.6483403602</v>
      </c>
      <c r="R17" s="198"/>
    </row>
    <row r="18" spans="1:18" ht="13.2" thickTop="1" thickBot="1" x14ac:dyDescent="0.35">
      <c r="A18" s="182">
        <v>2009</v>
      </c>
      <c r="B18" s="183" t="s">
        <v>14</v>
      </c>
      <c r="C18" s="184">
        <f t="shared" ref="C18:F18" si="8">SUM(C6:C17)</f>
        <v>2755752</v>
      </c>
      <c r="D18" s="185">
        <f t="shared" si="8"/>
        <v>-107886.96</v>
      </c>
      <c r="E18" s="184">
        <f t="shared" si="8"/>
        <v>66478086</v>
      </c>
      <c r="F18" s="186">
        <f t="shared" si="8"/>
        <v>-6561387.1099999994</v>
      </c>
      <c r="G18" s="161">
        <f t="shared" si="0"/>
        <v>69233838</v>
      </c>
      <c r="H18" s="159">
        <v>6669274.0699999994</v>
      </c>
      <c r="I18" s="166">
        <f>SUM(I6:I17)</f>
        <v>572351410</v>
      </c>
      <c r="J18" s="166">
        <f t="shared" ref="J18:P18" si="9">SUM(J6:J17)</f>
        <v>503117572</v>
      </c>
      <c r="K18" s="166"/>
      <c r="L18" s="166">
        <f t="shared" si="9"/>
        <v>5681767129.2964001</v>
      </c>
      <c r="M18" s="166"/>
      <c r="N18" s="166">
        <f t="shared" si="9"/>
        <v>525230753.45998871</v>
      </c>
      <c r="O18" s="166">
        <f t="shared" si="9"/>
        <v>47120656.540011257</v>
      </c>
      <c r="P18" s="168">
        <f t="shared" si="9"/>
        <v>4650808.8004991105</v>
      </c>
      <c r="Q18" s="195">
        <f>SUM(Q6:Q17)</f>
        <v>2018465.2695008893</v>
      </c>
    </row>
    <row r="19" spans="1:18" ht="12.6" thickTop="1" x14ac:dyDescent="0.3">
      <c r="A19" s="174">
        <v>2010</v>
      </c>
      <c r="B19" s="356" t="s">
        <v>255</v>
      </c>
      <c r="C19" s="175">
        <v>201319</v>
      </c>
      <c r="D19" s="176">
        <v>-25346.06</v>
      </c>
      <c r="E19" s="175">
        <v>5753830</v>
      </c>
      <c r="F19" s="177">
        <v>-567903.01</v>
      </c>
      <c r="G19" s="161">
        <f t="shared" si="0"/>
        <v>5955149</v>
      </c>
      <c r="H19" s="159">
        <v>593249.07000000007</v>
      </c>
      <c r="I19" s="162">
        <f>'PPD Estimations 09-14'!M18</f>
        <v>49330428</v>
      </c>
      <c r="J19" s="161">
        <f t="shared" si="1"/>
        <v>43375279</v>
      </c>
      <c r="K19" s="163">
        <f>J19/(J19+'PPD Estimations 09-14'!L18)</f>
        <v>8.9221105214081373E-2</v>
      </c>
      <c r="L19" s="164">
        <f t="shared" si="2"/>
        <v>486154917.00000006</v>
      </c>
      <c r="M19" s="163">
        <f>K19+(2*0.0018)</f>
        <v>9.2821105214081379E-2</v>
      </c>
      <c r="N19" s="164">
        <f t="shared" si="4"/>
        <v>45125436.701200008</v>
      </c>
      <c r="O19" s="165">
        <f t="shared" si="5"/>
        <v>4204991.2987999916</v>
      </c>
      <c r="P19" s="159">
        <f t="shared" si="6"/>
        <v>415032.64119155915</v>
      </c>
      <c r="Q19" s="169">
        <f t="shared" si="7"/>
        <v>178216.42880844092</v>
      </c>
    </row>
    <row r="20" spans="1:18" x14ac:dyDescent="0.3">
      <c r="A20" s="174">
        <v>2010</v>
      </c>
      <c r="B20" s="356" t="s">
        <v>256</v>
      </c>
      <c r="C20" s="175">
        <v>188016</v>
      </c>
      <c r="D20" s="176">
        <v>-21321.01</v>
      </c>
      <c r="E20" s="175">
        <v>5219833</v>
      </c>
      <c r="F20" s="177">
        <v>-515197.53</v>
      </c>
      <c r="G20" s="161">
        <f t="shared" si="0"/>
        <v>5407849</v>
      </c>
      <c r="H20" s="159">
        <v>536518.54</v>
      </c>
      <c r="I20" s="162">
        <f>'PPD Estimations 09-14'!M19</f>
        <v>45003170</v>
      </c>
      <c r="J20" s="161">
        <f t="shared" si="1"/>
        <v>39595321</v>
      </c>
      <c r="K20" s="163">
        <f>J20/(J20+'PPD Estimations 09-14'!L19)</f>
        <v>8.8896129990049616E-2</v>
      </c>
      <c r="L20" s="164">
        <f t="shared" si="2"/>
        <v>445411077</v>
      </c>
      <c r="M20" s="163">
        <f t="shared" ref="M20:M30" si="10">K20+(2*0.0018)</f>
        <v>9.2496129990049622E-2</v>
      </c>
      <c r="N20" s="164">
        <f t="shared" si="4"/>
        <v>41198800.8772</v>
      </c>
      <c r="O20" s="165">
        <f t="shared" si="5"/>
        <v>3804369.1228</v>
      </c>
      <c r="P20" s="159">
        <f t="shared" si="6"/>
        <v>375491.23242035997</v>
      </c>
      <c r="Q20" s="169">
        <f t="shared" si="7"/>
        <v>161027.30757964007</v>
      </c>
    </row>
    <row r="21" spans="1:18" x14ac:dyDescent="0.3">
      <c r="A21" s="174">
        <v>2010</v>
      </c>
      <c r="B21" s="356" t="s">
        <v>257</v>
      </c>
      <c r="C21" s="175">
        <v>251616</v>
      </c>
      <c r="D21" s="176">
        <v>-38899.82</v>
      </c>
      <c r="E21" s="175">
        <v>5761744</v>
      </c>
      <c r="F21" s="177">
        <v>-568684.16</v>
      </c>
      <c r="G21" s="161">
        <f t="shared" si="0"/>
        <v>6013360</v>
      </c>
      <c r="H21" s="159">
        <v>607583.98</v>
      </c>
      <c r="I21" s="162">
        <f>'PPD Estimations 09-14'!M20</f>
        <v>50057624</v>
      </c>
      <c r="J21" s="161">
        <f t="shared" si="1"/>
        <v>44044264</v>
      </c>
      <c r="K21" s="163">
        <f>J21/(J21+'PPD Estimations 09-14'!L20)</f>
        <v>8.9368826523729558E-2</v>
      </c>
      <c r="L21" s="164">
        <f t="shared" si="2"/>
        <v>492836996</v>
      </c>
      <c r="M21" s="163">
        <f t="shared" si="10"/>
        <v>9.2968826523729564E-2</v>
      </c>
      <c r="N21" s="164">
        <f t="shared" si="4"/>
        <v>45818477.185599998</v>
      </c>
      <c r="O21" s="165">
        <f t="shared" si="5"/>
        <v>4239146.8144000024</v>
      </c>
      <c r="P21" s="159">
        <f t="shared" si="6"/>
        <v>418403.79058128019</v>
      </c>
      <c r="Q21" s="169">
        <f t="shared" si="7"/>
        <v>189180.18941871979</v>
      </c>
    </row>
    <row r="22" spans="1:18" x14ac:dyDescent="0.3">
      <c r="A22" s="174">
        <v>2010</v>
      </c>
      <c r="B22" s="356" t="s">
        <v>258</v>
      </c>
      <c r="C22" s="175">
        <v>227027</v>
      </c>
      <c r="D22" s="176">
        <v>0</v>
      </c>
      <c r="E22" s="175">
        <v>5586481</v>
      </c>
      <c r="F22" s="177">
        <v>-551385.68000000005</v>
      </c>
      <c r="G22" s="161">
        <f t="shared" si="0"/>
        <v>5813508</v>
      </c>
      <c r="H22" s="159">
        <v>551385.68000000005</v>
      </c>
      <c r="I22" s="162">
        <f>'PPD Estimations 09-14'!M21</f>
        <v>48567474</v>
      </c>
      <c r="J22" s="161">
        <f t="shared" si="1"/>
        <v>42753966</v>
      </c>
      <c r="K22" s="163">
        <f>J22/(J22+'PPD Estimations 09-14'!L21)</f>
        <v>8.9154594751183272E-2</v>
      </c>
      <c r="L22" s="164">
        <f t="shared" si="2"/>
        <v>479548655</v>
      </c>
      <c r="M22" s="163">
        <f t="shared" si="10"/>
        <v>9.2754594751183278E-2</v>
      </c>
      <c r="N22" s="164">
        <f t="shared" si="4"/>
        <v>44480341.158</v>
      </c>
      <c r="O22" s="165">
        <f t="shared" si="5"/>
        <v>4087132.8420000002</v>
      </c>
      <c r="P22" s="159">
        <f t="shared" si="6"/>
        <v>403400.01150540001</v>
      </c>
      <c r="Q22" s="169">
        <f t="shared" si="7"/>
        <v>147985.66849460005</v>
      </c>
    </row>
    <row r="23" spans="1:18" x14ac:dyDescent="0.3">
      <c r="A23" s="174">
        <v>2010</v>
      </c>
      <c r="B23" s="356" t="s">
        <v>6</v>
      </c>
      <c r="C23" s="175">
        <v>193918</v>
      </c>
      <c r="D23" s="176">
        <v>0</v>
      </c>
      <c r="E23" s="175">
        <v>5702700</v>
      </c>
      <c r="F23" s="177">
        <v>-562856.49</v>
      </c>
      <c r="G23" s="161">
        <f t="shared" si="0"/>
        <v>5896618</v>
      </c>
      <c r="H23" s="159">
        <v>562856.49</v>
      </c>
      <c r="I23" s="162">
        <f>'PPD Estimations 09-14'!M22</f>
        <v>47758547</v>
      </c>
      <c r="J23" s="161">
        <f t="shared" si="1"/>
        <v>41861929</v>
      </c>
      <c r="K23" s="163">
        <f>J23/(J23+'PPD Estimations 09-14'!L22)</f>
        <v>8.8478048820305369E-2</v>
      </c>
      <c r="L23" s="164">
        <f t="shared" si="2"/>
        <v>473133501</v>
      </c>
      <c r="M23" s="163">
        <f t="shared" si="10"/>
        <v>9.2078048820305375E-2</v>
      </c>
      <c r="N23" s="164">
        <f t="shared" si="4"/>
        <v>43565209.603600003</v>
      </c>
      <c r="O23" s="165">
        <f t="shared" si="5"/>
        <v>4193337.3963999972</v>
      </c>
      <c r="P23" s="159">
        <f t="shared" si="6"/>
        <v>413882.40102467971</v>
      </c>
      <c r="Q23" s="169">
        <f t="shared" si="7"/>
        <v>148974.08897532028</v>
      </c>
    </row>
    <row r="24" spans="1:18" x14ac:dyDescent="0.3">
      <c r="A24" s="174">
        <v>2010</v>
      </c>
      <c r="B24" s="356" t="s">
        <v>7</v>
      </c>
      <c r="C24" s="175">
        <v>188099</v>
      </c>
      <c r="D24" s="176">
        <v>0</v>
      </c>
      <c r="E24" s="175">
        <v>5359043</v>
      </c>
      <c r="F24" s="177">
        <v>-528937.53</v>
      </c>
      <c r="G24" s="161">
        <f t="shared" si="0"/>
        <v>5547142</v>
      </c>
      <c r="H24" s="159">
        <v>528937.53</v>
      </c>
      <c r="I24" s="162">
        <f>'PPD Estimations 09-14'!M23</f>
        <v>44453841</v>
      </c>
      <c r="J24" s="161">
        <f t="shared" si="1"/>
        <v>38906699</v>
      </c>
      <c r="K24" s="163">
        <f>J24/(J24+'PPD Estimations 09-14'!L23)</f>
        <v>8.8533962807465338E-2</v>
      </c>
      <c r="L24" s="164">
        <f t="shared" si="2"/>
        <v>439455072</v>
      </c>
      <c r="M24" s="163">
        <f t="shared" si="10"/>
        <v>9.2133962807465344E-2</v>
      </c>
      <c r="N24" s="164">
        <f t="shared" si="4"/>
        <v>40488737.259200007</v>
      </c>
      <c r="O24" s="165">
        <f t="shared" si="5"/>
        <v>3965103.7407999933</v>
      </c>
      <c r="P24" s="159">
        <f t="shared" si="6"/>
        <v>391355.73921695934</v>
      </c>
      <c r="Q24" s="169">
        <f t="shared" si="7"/>
        <v>137581.79078304069</v>
      </c>
    </row>
    <row r="25" spans="1:18" x14ac:dyDescent="0.3">
      <c r="A25" s="174">
        <v>2010</v>
      </c>
      <c r="B25" s="356" t="s">
        <v>8</v>
      </c>
      <c r="C25" s="175">
        <v>197095</v>
      </c>
      <c r="D25" s="176">
        <v>0</v>
      </c>
      <c r="E25" s="175">
        <v>5628794</v>
      </c>
      <c r="F25" s="177">
        <v>-555561.98</v>
      </c>
      <c r="G25" s="161">
        <f t="shared" si="0"/>
        <v>5825889</v>
      </c>
      <c r="H25" s="159">
        <v>555561.98</v>
      </c>
      <c r="I25" s="162">
        <f>'PPD Estimations 09-14'!M24</f>
        <v>44539591</v>
      </c>
      <c r="J25" s="161">
        <f t="shared" si="1"/>
        <v>38713702</v>
      </c>
      <c r="K25" s="163">
        <f>J25/(J25+'PPD Estimations 09-14'!L24)</f>
        <v>8.7994080198941158E-2</v>
      </c>
      <c r="L25" s="164">
        <f t="shared" si="2"/>
        <v>439958028</v>
      </c>
      <c r="M25" s="163">
        <f t="shared" si="10"/>
        <v>9.1594080198941163E-2</v>
      </c>
      <c r="N25" s="164">
        <f t="shared" si="4"/>
        <v>40297550.900800005</v>
      </c>
      <c r="O25" s="165">
        <f t="shared" si="5"/>
        <v>4242040.0991999954</v>
      </c>
      <c r="P25" s="159">
        <f t="shared" si="6"/>
        <v>418689.35779103951</v>
      </c>
      <c r="Q25" s="169">
        <f t="shared" si="7"/>
        <v>136872.62220896047</v>
      </c>
    </row>
    <row r="26" spans="1:18" x14ac:dyDescent="0.3">
      <c r="A26" s="174">
        <v>2010</v>
      </c>
      <c r="B26" s="356" t="s">
        <v>259</v>
      </c>
      <c r="C26" s="175">
        <v>205218</v>
      </c>
      <c r="D26" s="176">
        <v>0</v>
      </c>
      <c r="E26" s="175">
        <v>5537508</v>
      </c>
      <c r="F26" s="177">
        <v>-546552.03</v>
      </c>
      <c r="G26" s="161">
        <f t="shared" si="0"/>
        <v>5742726</v>
      </c>
      <c r="H26" s="159">
        <v>546552.03</v>
      </c>
      <c r="I26" s="162">
        <f>'PPD Estimations 09-14'!M25</f>
        <v>47561180</v>
      </c>
      <c r="J26" s="161">
        <f t="shared" si="1"/>
        <v>41818454</v>
      </c>
      <c r="K26" s="163">
        <f>J26/(J26+'PPD Estimations 09-14'!L25)</f>
        <v>8.8745784498976188E-2</v>
      </c>
      <c r="L26" s="164">
        <f t="shared" si="2"/>
        <v>471216230</v>
      </c>
      <c r="M26" s="163">
        <f t="shared" si="10"/>
        <v>9.2345784498976194E-2</v>
      </c>
      <c r="N26" s="164">
        <f t="shared" si="4"/>
        <v>43514832.428000003</v>
      </c>
      <c r="O26" s="165">
        <f t="shared" si="5"/>
        <v>4046347.5719999969</v>
      </c>
      <c r="P26" s="159">
        <f t="shared" si="6"/>
        <v>399374.50535639969</v>
      </c>
      <c r="Q26" s="169">
        <f t="shared" si="7"/>
        <v>147177.52464360034</v>
      </c>
    </row>
    <row r="27" spans="1:18" x14ac:dyDescent="0.3">
      <c r="A27" s="174">
        <v>2010</v>
      </c>
      <c r="B27" s="356" t="s">
        <v>260</v>
      </c>
      <c r="C27" s="175">
        <v>245712</v>
      </c>
      <c r="D27" s="176">
        <v>0</v>
      </c>
      <c r="E27" s="175">
        <v>5414036</v>
      </c>
      <c r="F27" s="177">
        <v>-534365.32999999996</v>
      </c>
      <c r="G27" s="161">
        <f t="shared" si="0"/>
        <v>5659748</v>
      </c>
      <c r="H27" s="159">
        <v>534365.32999999996</v>
      </c>
      <c r="I27" s="162">
        <f>'PPD Estimations 09-14'!M26</f>
        <v>48164990</v>
      </c>
      <c r="J27" s="161">
        <f t="shared" si="1"/>
        <v>42505242</v>
      </c>
      <c r="K27" s="163">
        <f>J27/(J27+'PPD Estimations 09-14'!L26)</f>
        <v>8.9174365984724599E-2</v>
      </c>
      <c r="L27" s="164">
        <f t="shared" si="2"/>
        <v>476653145</v>
      </c>
      <c r="M27" s="163">
        <f t="shared" si="10"/>
        <v>9.2774365984724605E-2</v>
      </c>
      <c r="N27" s="164">
        <f t="shared" si="4"/>
        <v>44221193.322000004</v>
      </c>
      <c r="O27" s="165">
        <f t="shared" si="5"/>
        <v>3943796.6779999956</v>
      </c>
      <c r="P27" s="159">
        <f t="shared" si="6"/>
        <v>389252.73211859958</v>
      </c>
      <c r="Q27" s="169">
        <f t="shared" si="7"/>
        <v>145112.59788140038</v>
      </c>
    </row>
    <row r="28" spans="1:18" x14ac:dyDescent="0.3">
      <c r="A28" s="174">
        <v>2010</v>
      </c>
      <c r="B28" s="356" t="s">
        <v>261</v>
      </c>
      <c r="C28" s="175">
        <v>195904</v>
      </c>
      <c r="D28" s="176">
        <v>0</v>
      </c>
      <c r="E28" s="175">
        <v>5502761</v>
      </c>
      <c r="F28" s="177">
        <v>-543122.51</v>
      </c>
      <c r="G28" s="161">
        <f t="shared" si="0"/>
        <v>5698665</v>
      </c>
      <c r="H28" s="159">
        <v>543122.51</v>
      </c>
      <c r="I28" s="162">
        <f>'PPD Estimations 09-14'!M27</f>
        <v>49237975</v>
      </c>
      <c r="J28" s="161">
        <f t="shared" si="1"/>
        <v>43539310</v>
      </c>
      <c r="K28" s="163">
        <f>J28/(J28+'PPD Estimations 09-14'!L27)</f>
        <v>8.9515456483461056E-2</v>
      </c>
      <c r="L28" s="164">
        <f t="shared" si="2"/>
        <v>486388739</v>
      </c>
      <c r="M28" s="163">
        <f t="shared" si="10"/>
        <v>9.3115456483461062E-2</v>
      </c>
      <c r="N28" s="164">
        <f t="shared" si="4"/>
        <v>45290309.4604</v>
      </c>
      <c r="O28" s="165">
        <f t="shared" si="5"/>
        <v>3947665.5395999998</v>
      </c>
      <c r="P28" s="159">
        <f t="shared" si="6"/>
        <v>389634.58875851997</v>
      </c>
      <c r="Q28" s="169">
        <f t="shared" si="7"/>
        <v>153487.92124148004</v>
      </c>
    </row>
    <row r="29" spans="1:18" x14ac:dyDescent="0.3">
      <c r="A29" s="174">
        <v>2010</v>
      </c>
      <c r="B29" s="356" t="s">
        <v>262</v>
      </c>
      <c r="C29" s="175">
        <v>196705</v>
      </c>
      <c r="D29" s="176">
        <v>0</v>
      </c>
      <c r="E29" s="175">
        <v>5023575</v>
      </c>
      <c r="F29" s="177">
        <v>-495826.85</v>
      </c>
      <c r="G29" s="161">
        <f t="shared" si="0"/>
        <v>5220280</v>
      </c>
      <c r="H29" s="159">
        <v>495826.85</v>
      </c>
      <c r="I29" s="162">
        <f>'PPD Estimations 09-14'!M28</f>
        <v>47969937</v>
      </c>
      <c r="J29" s="161">
        <f t="shared" si="1"/>
        <v>42749657</v>
      </c>
      <c r="K29" s="163">
        <f>J29/(J29+'PPD Estimations 09-14'!L28)</f>
        <v>9.030395183128706E-2</v>
      </c>
      <c r="L29" s="164">
        <f t="shared" si="2"/>
        <v>473397410.99999994</v>
      </c>
      <c r="M29" s="163">
        <f t="shared" si="10"/>
        <v>9.3903951831287066E-2</v>
      </c>
      <c r="N29" s="164">
        <f t="shared" si="4"/>
        <v>44453887.6796</v>
      </c>
      <c r="O29" s="165">
        <f t="shared" si="5"/>
        <v>3516049.3203999996</v>
      </c>
      <c r="P29" s="159">
        <f t="shared" si="6"/>
        <v>347034.06792347995</v>
      </c>
      <c r="Q29" s="169">
        <f t="shared" si="7"/>
        <v>148792.78207652003</v>
      </c>
    </row>
    <row r="30" spans="1:18" s="134" customFormat="1" ht="12.6" thickBot="1" x14ac:dyDescent="0.35">
      <c r="A30" s="174">
        <v>2010</v>
      </c>
      <c r="B30" s="357" t="s">
        <v>263</v>
      </c>
      <c r="C30" s="175">
        <v>221687</v>
      </c>
      <c r="D30" s="176">
        <v>0</v>
      </c>
      <c r="E30" s="175">
        <v>5078487</v>
      </c>
      <c r="F30" s="177">
        <v>-501246.67</v>
      </c>
      <c r="G30" s="161">
        <f t="shared" si="0"/>
        <v>5300174</v>
      </c>
      <c r="H30" s="159">
        <v>501246.67</v>
      </c>
      <c r="I30" s="162">
        <f>'PPD Estimations 09-14'!M29</f>
        <v>48894449</v>
      </c>
      <c r="J30" s="161">
        <f t="shared" si="1"/>
        <v>43594275</v>
      </c>
      <c r="K30" s="163">
        <f>J30/(J30+'PPD Estimations 09-14'!L29)</f>
        <v>9.030198247415995E-2</v>
      </c>
      <c r="L30" s="164">
        <f t="shared" si="2"/>
        <v>482760996</v>
      </c>
      <c r="M30" s="163">
        <f t="shared" si="10"/>
        <v>9.3901982474159956E-2</v>
      </c>
      <c r="N30" s="164">
        <f t="shared" si="4"/>
        <v>45332214.585600004</v>
      </c>
      <c r="O30" s="165">
        <f t="shared" si="5"/>
        <v>3562234.4143999964</v>
      </c>
      <c r="P30" s="159">
        <f t="shared" si="6"/>
        <v>351592.53670127963</v>
      </c>
      <c r="Q30" s="169">
        <f t="shared" si="7"/>
        <v>149654.13329872035</v>
      </c>
    </row>
    <row r="31" spans="1:18" ht="13.2" thickTop="1" thickBot="1" x14ac:dyDescent="0.35">
      <c r="A31" s="187">
        <v>2010</v>
      </c>
      <c r="B31" s="188" t="s">
        <v>14</v>
      </c>
      <c r="C31" s="189">
        <f t="shared" ref="C31:F31" si="11">SUM(C19:C30)</f>
        <v>2512316</v>
      </c>
      <c r="D31" s="190">
        <f t="shared" si="11"/>
        <v>-85566.89</v>
      </c>
      <c r="E31" s="189">
        <f t="shared" si="11"/>
        <v>65568792</v>
      </c>
      <c r="F31" s="191">
        <f t="shared" si="11"/>
        <v>-6471639.7699999996</v>
      </c>
      <c r="G31" s="161">
        <f t="shared" si="0"/>
        <v>68081108</v>
      </c>
      <c r="H31" s="159">
        <v>6557206.6599999992</v>
      </c>
      <c r="I31" s="166">
        <f>SUM(I19:I30)</f>
        <v>571539206</v>
      </c>
      <c r="J31" s="167">
        <f>SUM(J19:J30)</f>
        <v>503458098</v>
      </c>
      <c r="K31" s="134"/>
      <c r="L31" s="170"/>
      <c r="M31" s="134"/>
      <c r="N31" s="170">
        <f>SUM(N19:N30)</f>
        <v>523786991.16120005</v>
      </c>
      <c r="O31" s="165">
        <f t="shared" si="5"/>
        <v>47752214.838799953</v>
      </c>
      <c r="P31" s="169">
        <f t="shared" si="6"/>
        <v>4713143.6045895554</v>
      </c>
      <c r="Q31" s="195">
        <f>SUM(Q19:Q30)</f>
        <v>1844063.0554104433</v>
      </c>
    </row>
    <row r="32" spans="1:18" ht="12.6" thickTop="1" x14ac:dyDescent="0.3">
      <c r="A32" s="174">
        <v>2011</v>
      </c>
      <c r="B32" s="356" t="s">
        <v>255</v>
      </c>
      <c r="C32" s="175">
        <v>212276</v>
      </c>
      <c r="D32" s="176">
        <v>0</v>
      </c>
      <c r="E32" s="175">
        <v>5228883</v>
      </c>
      <c r="F32" s="177">
        <v>-516090.76</v>
      </c>
      <c r="G32" s="161">
        <f t="shared" si="0"/>
        <v>5441159</v>
      </c>
      <c r="H32" s="159">
        <v>516090.76</v>
      </c>
      <c r="I32" s="162">
        <f>'PPD Estimations 09-14'!M30</f>
        <v>48946876</v>
      </c>
      <c r="J32" s="161">
        <f t="shared" si="1"/>
        <v>43505717</v>
      </c>
      <c r="K32" s="163">
        <f>J32/(J32+'PPD Estimations 09-14'!L30)</f>
        <v>8.9962923375977166E-2</v>
      </c>
      <c r="L32" s="164">
        <f t="shared" si="2"/>
        <v>483596079</v>
      </c>
      <c r="M32" s="163">
        <f>K32+(2*0.0018)</f>
        <v>9.3562923375977172E-2</v>
      </c>
      <c r="N32" s="164">
        <f t="shared" si="4"/>
        <v>45246662.884400003</v>
      </c>
      <c r="O32" s="165">
        <f t="shared" ref="O32:O44" si="12">I32-N32</f>
        <v>3700213.1155999973</v>
      </c>
      <c r="P32" s="159">
        <f t="shared" si="6"/>
        <v>365211.0345097197</v>
      </c>
      <c r="Q32" s="169">
        <f t="shared" ref="Q32:Q43" si="13">H32-P32</f>
        <v>150879.72549028031</v>
      </c>
    </row>
    <row r="33" spans="1:17" x14ac:dyDescent="0.3">
      <c r="A33" s="174">
        <v>2011</v>
      </c>
      <c r="B33" s="356" t="s">
        <v>256</v>
      </c>
      <c r="C33" s="175">
        <v>203334</v>
      </c>
      <c r="D33" s="176">
        <v>0</v>
      </c>
      <c r="E33" s="175">
        <v>4717522</v>
      </c>
      <c r="F33" s="177">
        <v>-465619.43</v>
      </c>
      <c r="G33" s="161">
        <f t="shared" si="0"/>
        <v>4920856</v>
      </c>
      <c r="H33" s="159">
        <v>465619.43</v>
      </c>
      <c r="I33" s="162">
        <f>'PPD Estimations 09-14'!M31</f>
        <v>43679563</v>
      </c>
      <c r="J33" s="161">
        <f t="shared" si="1"/>
        <v>38758707</v>
      </c>
      <c r="K33" s="163">
        <f>J33/(J33+'PPD Estimations 09-14'!L31)</f>
        <v>8.9633845044802901E-2</v>
      </c>
      <c r="L33" s="164">
        <f t="shared" si="2"/>
        <v>432411518</v>
      </c>
      <c r="M33" s="163">
        <f t="shared" ref="M33:M43" si="14">K33+(2*0.0018)</f>
        <v>9.3233845044802907E-2</v>
      </c>
      <c r="N33" s="164">
        <f t="shared" si="4"/>
        <v>40315388.4648</v>
      </c>
      <c r="O33" s="165">
        <f t="shared" si="12"/>
        <v>3364174.5351999998</v>
      </c>
      <c r="P33" s="159">
        <f t="shared" si="6"/>
        <v>332044.02662423998</v>
      </c>
      <c r="Q33" s="169">
        <f t="shared" si="13"/>
        <v>133575.40337576001</v>
      </c>
    </row>
    <row r="34" spans="1:17" x14ac:dyDescent="0.3">
      <c r="A34" s="174">
        <v>2011</v>
      </c>
      <c r="B34" s="356" t="s">
        <v>257</v>
      </c>
      <c r="C34" s="175">
        <v>222946</v>
      </c>
      <c r="D34" s="176">
        <v>0</v>
      </c>
      <c r="E34" s="175">
        <v>5225656</v>
      </c>
      <c r="F34" s="177">
        <v>-515772.25</v>
      </c>
      <c r="G34" s="161">
        <f t="shared" si="0"/>
        <v>5448602</v>
      </c>
      <c r="H34" s="159">
        <v>515772.25</v>
      </c>
      <c r="I34" s="162">
        <f>'PPD Estimations 09-14'!M32</f>
        <v>50029781</v>
      </c>
      <c r="J34" s="161">
        <f t="shared" si="1"/>
        <v>44581179</v>
      </c>
      <c r="K34" s="163">
        <f>J34/(J34+'PPD Estimations 09-14'!L32)</f>
        <v>8.9929548960633238E-2</v>
      </c>
      <c r="L34" s="164">
        <f t="shared" si="2"/>
        <v>495734489</v>
      </c>
      <c r="M34" s="163">
        <f t="shared" si="14"/>
        <v>9.3529548960633244E-2</v>
      </c>
      <c r="N34" s="164">
        <f t="shared" si="4"/>
        <v>46365823.160400003</v>
      </c>
      <c r="O34" s="165">
        <f t="shared" si="12"/>
        <v>3663957.8395999968</v>
      </c>
      <c r="P34" s="159">
        <f t="shared" si="6"/>
        <v>361632.63876851968</v>
      </c>
      <c r="Q34" s="169">
        <f t="shared" si="13"/>
        <v>154139.61123148032</v>
      </c>
    </row>
    <row r="35" spans="1:17" x14ac:dyDescent="0.3">
      <c r="A35" s="174">
        <v>2011</v>
      </c>
      <c r="B35" s="356" t="s">
        <v>258</v>
      </c>
      <c r="C35" s="175">
        <v>216859</v>
      </c>
      <c r="D35" s="176">
        <v>0</v>
      </c>
      <c r="E35" s="175">
        <v>5002446</v>
      </c>
      <c r="F35" s="177">
        <v>-493741.42</v>
      </c>
      <c r="G35" s="161">
        <f t="shared" si="0"/>
        <v>5219305</v>
      </c>
      <c r="H35" s="159">
        <v>493741.42</v>
      </c>
      <c r="I35" s="162">
        <f>'PPD Estimations 09-14'!M33</f>
        <v>44262106</v>
      </c>
      <c r="J35" s="161">
        <f t="shared" si="1"/>
        <v>39042801</v>
      </c>
      <c r="K35" s="163">
        <f>J35/(J35+'PPD Estimations 09-14'!L33)</f>
        <v>8.9057217511246858E-2</v>
      </c>
      <c r="L35" s="164">
        <f t="shared" si="2"/>
        <v>438401312</v>
      </c>
      <c r="M35" s="163">
        <f t="shared" si="14"/>
        <v>9.2657217511246864E-2</v>
      </c>
      <c r="N35" s="164">
        <f t="shared" si="4"/>
        <v>40621045.723200001</v>
      </c>
      <c r="O35" s="165">
        <f t="shared" si="12"/>
        <v>3641060.2767999992</v>
      </c>
      <c r="P35" s="159">
        <f t="shared" si="6"/>
        <v>359372.64932015992</v>
      </c>
      <c r="Q35" s="169">
        <f t="shared" si="13"/>
        <v>134368.77067984006</v>
      </c>
    </row>
    <row r="36" spans="1:17" x14ac:dyDescent="0.3">
      <c r="A36" s="174">
        <v>2011</v>
      </c>
      <c r="B36" s="356" t="s">
        <v>6</v>
      </c>
      <c r="C36" s="175">
        <v>216754</v>
      </c>
      <c r="D36" s="176">
        <v>0</v>
      </c>
      <c r="E36" s="175">
        <v>5281611</v>
      </c>
      <c r="F36" s="177">
        <v>-521295</v>
      </c>
      <c r="G36" s="161">
        <f t="shared" si="0"/>
        <v>5498365</v>
      </c>
      <c r="H36" s="159">
        <v>521295</v>
      </c>
      <c r="I36" s="162">
        <f>'PPD Estimations 09-14'!M34</f>
        <v>47730334</v>
      </c>
      <c r="J36" s="161">
        <f t="shared" si="1"/>
        <v>42231969</v>
      </c>
      <c r="K36" s="163">
        <f>J36/(J36+'PPD Estimations 09-14'!L34)</f>
        <v>8.9239635087808619E-2</v>
      </c>
      <c r="L36" s="164">
        <f t="shared" si="2"/>
        <v>473242287.00000006</v>
      </c>
      <c r="M36" s="163">
        <f t="shared" si="14"/>
        <v>9.2839635087808625E-2</v>
      </c>
      <c r="N36" s="164">
        <f t="shared" si="4"/>
        <v>43935641.233200006</v>
      </c>
      <c r="O36" s="165">
        <f t="shared" si="12"/>
        <v>3794692.7667999938</v>
      </c>
      <c r="P36" s="159">
        <f t="shared" si="6"/>
        <v>374536.1760831594</v>
      </c>
      <c r="Q36" s="169">
        <f t="shared" si="13"/>
        <v>146758.8239168406</v>
      </c>
    </row>
    <row r="37" spans="1:17" x14ac:dyDescent="0.3">
      <c r="A37" s="174">
        <v>2011</v>
      </c>
      <c r="B37" s="356" t="s">
        <v>7</v>
      </c>
      <c r="C37" s="175">
        <v>250033</v>
      </c>
      <c r="D37" s="176">
        <v>0</v>
      </c>
      <c r="E37" s="175">
        <v>4938726</v>
      </c>
      <c r="F37" s="177">
        <v>-487452.24</v>
      </c>
      <c r="G37" s="161">
        <f t="shared" si="0"/>
        <v>5188759</v>
      </c>
      <c r="H37" s="159">
        <v>487452.24</v>
      </c>
      <c r="I37" s="162">
        <f>'PPD Estimations 09-14'!M35</f>
        <v>43447622</v>
      </c>
      <c r="J37" s="161">
        <f t="shared" si="1"/>
        <v>38258863</v>
      </c>
      <c r="K37" s="163">
        <f>J37/(J37+'PPD Estimations 09-14'!L35)</f>
        <v>8.8818131024291688E-2</v>
      </c>
      <c r="L37" s="164">
        <f t="shared" si="2"/>
        <v>430755101</v>
      </c>
      <c r="M37" s="163">
        <f t="shared" si="14"/>
        <v>9.2418131024291694E-2</v>
      </c>
      <c r="N37" s="164">
        <f t="shared" si="4"/>
        <v>39809581.363600001</v>
      </c>
      <c r="O37" s="165">
        <f t="shared" si="12"/>
        <v>3638040.6363999993</v>
      </c>
      <c r="P37" s="159">
        <f t="shared" si="6"/>
        <v>359074.61081267992</v>
      </c>
      <c r="Q37" s="169">
        <f t="shared" si="13"/>
        <v>128377.62918732007</v>
      </c>
    </row>
    <row r="38" spans="1:17" x14ac:dyDescent="0.3">
      <c r="A38" s="174">
        <v>2011</v>
      </c>
      <c r="B38" s="356" t="s">
        <v>8</v>
      </c>
      <c r="C38" s="175">
        <v>228264</v>
      </c>
      <c r="D38" s="176">
        <v>0</v>
      </c>
      <c r="E38" s="175">
        <v>5102806</v>
      </c>
      <c r="F38" s="177">
        <v>-503646.96</v>
      </c>
      <c r="G38" s="161">
        <f t="shared" ref="G38:G69" si="15">C38+E38</f>
        <v>5331070</v>
      </c>
      <c r="H38" s="159">
        <v>503646.96</v>
      </c>
      <c r="I38" s="162">
        <f>'PPD Estimations 09-14'!M36</f>
        <v>42115504</v>
      </c>
      <c r="J38" s="161">
        <f t="shared" si="1"/>
        <v>36784434</v>
      </c>
      <c r="K38" s="163">
        <f>J38/(J38+'PPD Estimations 09-14'!L36)</f>
        <v>8.8240559465413607E-2</v>
      </c>
      <c r="L38" s="164">
        <f t="shared" si="2"/>
        <v>416865376</v>
      </c>
      <c r="M38" s="163">
        <f t="shared" si="14"/>
        <v>9.1840559465413613E-2</v>
      </c>
      <c r="N38" s="164">
        <f t="shared" si="4"/>
        <v>38285149.353600003</v>
      </c>
      <c r="O38" s="165">
        <f t="shared" si="12"/>
        <v>3830354.6463999972</v>
      </c>
      <c r="P38" s="159">
        <f t="shared" si="6"/>
        <v>378056.00359967968</v>
      </c>
      <c r="Q38" s="169">
        <f t="shared" si="13"/>
        <v>125590.95640032034</v>
      </c>
    </row>
    <row r="39" spans="1:17" x14ac:dyDescent="0.3">
      <c r="A39" s="174">
        <v>2011</v>
      </c>
      <c r="B39" s="356" t="s">
        <v>259</v>
      </c>
      <c r="C39" s="175">
        <v>249808</v>
      </c>
      <c r="D39" s="176">
        <v>0</v>
      </c>
      <c r="E39" s="175">
        <v>5500819</v>
      </c>
      <c r="F39" s="177">
        <v>-542930.82999999996</v>
      </c>
      <c r="G39" s="161">
        <f t="shared" si="15"/>
        <v>5750627</v>
      </c>
      <c r="H39" s="159">
        <v>542930.82999999996</v>
      </c>
      <c r="I39" s="162">
        <f>'PPD Estimations 09-14'!M37</f>
        <v>47066168</v>
      </c>
      <c r="J39" s="161">
        <f t="shared" si="1"/>
        <v>41315541</v>
      </c>
      <c r="K39" s="163">
        <f>J39/(J39+'PPD Estimations 09-14'!L37)</f>
        <v>8.8697507966065445E-2</v>
      </c>
      <c r="L39" s="164">
        <f t="shared" si="2"/>
        <v>465802726</v>
      </c>
      <c r="M39" s="163">
        <f t="shared" si="14"/>
        <v>9.2297507966065451E-2</v>
      </c>
      <c r="N39" s="164">
        <f t="shared" si="4"/>
        <v>42992430.813600004</v>
      </c>
      <c r="O39" s="165">
        <f t="shared" si="12"/>
        <v>4073737.1863999963</v>
      </c>
      <c r="P39" s="159">
        <f t="shared" si="6"/>
        <v>402077.86029767961</v>
      </c>
      <c r="Q39" s="169">
        <f t="shared" si="13"/>
        <v>140852.96970232035</v>
      </c>
    </row>
    <row r="40" spans="1:17" x14ac:dyDescent="0.3">
      <c r="A40" s="174">
        <v>2011</v>
      </c>
      <c r="B40" s="356" t="s">
        <v>260</v>
      </c>
      <c r="C40" s="175">
        <v>248896</v>
      </c>
      <c r="D40" s="176">
        <v>0</v>
      </c>
      <c r="E40" s="175">
        <v>5339764</v>
      </c>
      <c r="F40" s="177">
        <v>-527034.68999999994</v>
      </c>
      <c r="G40" s="161">
        <f t="shared" si="15"/>
        <v>5588660</v>
      </c>
      <c r="H40" s="159">
        <v>527034.68999999994</v>
      </c>
      <c r="I40" s="162">
        <f>'PPD Estimations 09-14'!M38</f>
        <v>47049249</v>
      </c>
      <c r="J40" s="161">
        <f t="shared" si="1"/>
        <v>41460589</v>
      </c>
      <c r="K40" s="163">
        <f>J40/(J40+'PPD Estimations 09-14'!L38)</f>
        <v>8.916641127928325E-2</v>
      </c>
      <c r="L40" s="164">
        <f t="shared" si="2"/>
        <v>464979900</v>
      </c>
      <c r="M40" s="163">
        <f t="shared" si="14"/>
        <v>9.2766411279283256E-2</v>
      </c>
      <c r="N40" s="164">
        <f t="shared" si="4"/>
        <v>43134516.640000001</v>
      </c>
      <c r="O40" s="165">
        <f t="shared" si="12"/>
        <v>3914732.3599999994</v>
      </c>
      <c r="P40" s="159">
        <f t="shared" si="6"/>
        <v>386384.08393199992</v>
      </c>
      <c r="Q40" s="169">
        <f t="shared" si="13"/>
        <v>140650.60606800002</v>
      </c>
    </row>
    <row r="41" spans="1:17" x14ac:dyDescent="0.3">
      <c r="A41" s="174">
        <v>2011</v>
      </c>
      <c r="B41" s="356" t="s">
        <v>261</v>
      </c>
      <c r="C41" s="175">
        <v>237003</v>
      </c>
      <c r="D41" s="176">
        <v>0</v>
      </c>
      <c r="E41" s="175">
        <v>5407135</v>
      </c>
      <c r="F41" s="177">
        <v>-533684.22</v>
      </c>
      <c r="G41" s="161">
        <f t="shared" si="15"/>
        <v>5644138</v>
      </c>
      <c r="H41" s="159">
        <v>533684.22</v>
      </c>
      <c r="I41" s="162">
        <f>'PPD Estimations 09-14'!M39</f>
        <v>48477125</v>
      </c>
      <c r="J41" s="161">
        <f t="shared" si="1"/>
        <v>42832987</v>
      </c>
      <c r="K41" s="163">
        <f>J41/(J41+'PPD Estimations 09-14'!L39)</f>
        <v>8.9794340834948083E-2</v>
      </c>
      <c r="L41" s="164">
        <f t="shared" si="2"/>
        <v>477012099</v>
      </c>
      <c r="M41" s="163">
        <f t="shared" si="14"/>
        <v>9.3394340834948089E-2</v>
      </c>
      <c r="N41" s="164">
        <f t="shared" si="4"/>
        <v>44550230.556400001</v>
      </c>
      <c r="O41" s="165">
        <f t="shared" si="12"/>
        <v>3926894.443599999</v>
      </c>
      <c r="P41" s="159">
        <f t="shared" si="6"/>
        <v>387584.4815833199</v>
      </c>
      <c r="Q41" s="169">
        <f t="shared" si="13"/>
        <v>146099.73841668008</v>
      </c>
    </row>
    <row r="42" spans="1:17" x14ac:dyDescent="0.3">
      <c r="A42" s="174">
        <v>2011</v>
      </c>
      <c r="B42" s="356" t="s">
        <v>262</v>
      </c>
      <c r="C42" s="175">
        <v>233879</v>
      </c>
      <c r="D42" s="176">
        <v>0</v>
      </c>
      <c r="E42" s="175">
        <v>4780814</v>
      </c>
      <c r="F42" s="177">
        <v>-471866.33</v>
      </c>
      <c r="G42" s="161">
        <f t="shared" si="15"/>
        <v>5014693</v>
      </c>
      <c r="H42" s="159">
        <v>471866.33</v>
      </c>
      <c r="I42" s="162">
        <f>'PPD Estimations 09-14'!M40</f>
        <v>48221500</v>
      </c>
      <c r="J42" s="161">
        <f t="shared" si="1"/>
        <v>43206807</v>
      </c>
      <c r="K42" s="163">
        <f>J42/(J42+'PPD Estimations 09-14'!L40)</f>
        <v>9.0869247427213903E-2</v>
      </c>
      <c r="L42" s="164">
        <f t="shared" si="2"/>
        <v>475483271</v>
      </c>
      <c r="M42" s="163">
        <f t="shared" si="14"/>
        <v>9.4469247427213909E-2</v>
      </c>
      <c r="N42" s="164">
        <f t="shared" si="4"/>
        <v>44918546.775600001</v>
      </c>
      <c r="O42" s="165">
        <f t="shared" si="12"/>
        <v>3302953.2243999988</v>
      </c>
      <c r="P42" s="159">
        <f t="shared" si="6"/>
        <v>326001.4832482799</v>
      </c>
      <c r="Q42" s="169">
        <f t="shared" si="13"/>
        <v>145864.84675172012</v>
      </c>
    </row>
    <row r="43" spans="1:17" s="134" customFormat="1" ht="12.6" thickBot="1" x14ac:dyDescent="0.35">
      <c r="A43" s="178">
        <v>2011</v>
      </c>
      <c r="B43" s="357" t="s">
        <v>263</v>
      </c>
      <c r="C43" s="179">
        <v>235696</v>
      </c>
      <c r="D43" s="180">
        <v>0</v>
      </c>
      <c r="E43" s="179">
        <v>4638892</v>
      </c>
      <c r="F43" s="181">
        <v>-457858.65</v>
      </c>
      <c r="G43" s="161">
        <f t="shared" si="15"/>
        <v>4874588</v>
      </c>
      <c r="H43" s="159">
        <v>457858.65</v>
      </c>
      <c r="I43" s="162">
        <f>'PPD Estimations 09-14'!M41</f>
        <v>46974062</v>
      </c>
      <c r="J43" s="161">
        <f t="shared" si="1"/>
        <v>42099474</v>
      </c>
      <c r="K43" s="163">
        <f>J43/(J43+'PPD Estimations 09-14'!L41)</f>
        <v>9.0918581427636258E-2</v>
      </c>
      <c r="L43" s="164">
        <f t="shared" si="2"/>
        <v>463045874</v>
      </c>
      <c r="M43" s="163">
        <f t="shared" si="14"/>
        <v>9.4518581427636264E-2</v>
      </c>
      <c r="N43" s="164">
        <f t="shared" si="4"/>
        <v>43766439.146400005</v>
      </c>
      <c r="O43" s="165">
        <f t="shared" si="12"/>
        <v>3207622.8535999954</v>
      </c>
      <c r="P43" s="159">
        <f t="shared" si="6"/>
        <v>316592.3756503195</v>
      </c>
      <c r="Q43" s="169">
        <f t="shared" si="13"/>
        <v>141266.27434968052</v>
      </c>
    </row>
    <row r="44" spans="1:17" ht="13.2" thickTop="1" thickBot="1" x14ac:dyDescent="0.35">
      <c r="A44" s="182">
        <v>2011</v>
      </c>
      <c r="B44" s="183" t="s">
        <v>14</v>
      </c>
      <c r="C44" s="184">
        <f t="shared" ref="C44:F44" si="16">SUM(C32:C43)</f>
        <v>2755748</v>
      </c>
      <c r="D44" s="185">
        <f t="shared" si="16"/>
        <v>0</v>
      </c>
      <c r="E44" s="184">
        <f t="shared" si="16"/>
        <v>61165074</v>
      </c>
      <c r="F44" s="186">
        <f t="shared" si="16"/>
        <v>-6036992.7800000003</v>
      </c>
      <c r="G44" s="161">
        <f t="shared" si="15"/>
        <v>63920822</v>
      </c>
      <c r="H44" s="159">
        <v>6036992.7800000003</v>
      </c>
      <c r="I44" s="166">
        <f>SUM(I32:I43)</f>
        <v>557999890</v>
      </c>
      <c r="J44" s="167">
        <f>SUM(J32:J43)</f>
        <v>494079068</v>
      </c>
      <c r="K44" s="134"/>
      <c r="L44" s="170"/>
      <c r="M44" s="134"/>
      <c r="N44" s="170">
        <f>SUM(N32:N43)</f>
        <v>513941456.11520004</v>
      </c>
      <c r="O44" s="10">
        <f t="shared" si="12"/>
        <v>44058433.884799957</v>
      </c>
      <c r="P44" s="159">
        <f t="shared" si="6"/>
        <v>4348567.4244297557</v>
      </c>
      <c r="Q44" s="160">
        <f>SUM(Q32:Q43)</f>
        <v>1688425.3555702432</v>
      </c>
    </row>
    <row r="45" spans="1:17" ht="12.6" thickTop="1" x14ac:dyDescent="0.3">
      <c r="A45" s="174">
        <v>2012</v>
      </c>
      <c r="B45" s="356" t="s">
        <v>255</v>
      </c>
      <c r="C45" s="175">
        <v>257578</v>
      </c>
      <c r="D45" s="176">
        <v>-3554.57</v>
      </c>
      <c r="E45" s="175">
        <v>5005533</v>
      </c>
      <c r="F45" s="177">
        <v>-494046.12</v>
      </c>
      <c r="G45" s="161">
        <f t="shared" si="15"/>
        <v>5263111</v>
      </c>
      <c r="H45" s="159">
        <v>497600.69</v>
      </c>
      <c r="I45" s="162">
        <f>'PPD Estimations 09-14'!M42</f>
        <v>48800744</v>
      </c>
      <c r="J45" s="161">
        <f t="shared" ref="J45:J56" si="17">I45-G45</f>
        <v>43537633</v>
      </c>
      <c r="K45" s="163">
        <f>J45/(J45+'PPD Estimations 09-14'!L42)</f>
        <v>9.0407805475947553E-2</v>
      </c>
      <c r="L45" s="164">
        <f t="shared" si="2"/>
        <v>481569404</v>
      </c>
      <c r="M45" s="163">
        <f>K45+(2*0.0018)</f>
        <v>9.4007805475947559E-2</v>
      </c>
      <c r="N45" s="164">
        <f t="shared" si="4"/>
        <v>45271282.854400001</v>
      </c>
      <c r="O45" s="165">
        <f t="shared" ref="O45:O57" si="18">I45-N45</f>
        <v>3529461.1455999985</v>
      </c>
      <c r="P45" s="159">
        <f t="shared" ref="P45:P57" si="19">O45*0.0987</f>
        <v>348357.81507071987</v>
      </c>
      <c r="Q45" s="169">
        <f t="shared" ref="Q45:Q56" si="20">H45-P45</f>
        <v>149242.87492928014</v>
      </c>
    </row>
    <row r="46" spans="1:17" x14ac:dyDescent="0.3">
      <c r="A46" s="174">
        <v>2012</v>
      </c>
      <c r="B46" s="356" t="s">
        <v>256</v>
      </c>
      <c r="C46" s="175">
        <v>213742</v>
      </c>
      <c r="D46" s="176">
        <v>0</v>
      </c>
      <c r="E46" s="175">
        <v>4797853</v>
      </c>
      <c r="F46" s="177">
        <v>-473548.09</v>
      </c>
      <c r="G46" s="161">
        <f t="shared" si="15"/>
        <v>5011595</v>
      </c>
      <c r="H46" s="159">
        <v>473548.09</v>
      </c>
      <c r="I46" s="162">
        <f>'PPD Estimations 09-14'!M43</f>
        <v>44457712</v>
      </c>
      <c r="J46" s="161">
        <f t="shared" si="17"/>
        <v>39446117</v>
      </c>
      <c r="K46" s="163">
        <f>J46/(J46+'PPD Estimations 09-14'!L43)</f>
        <v>8.9850713866656037E-2</v>
      </c>
      <c r="L46" s="164">
        <f t="shared" si="2"/>
        <v>439018404</v>
      </c>
      <c r="M46" s="163">
        <f t="shared" ref="M46:M56" si="21">K46+(2*0.0018)</f>
        <v>9.3450713866656043E-2</v>
      </c>
      <c r="N46" s="164">
        <f t="shared" si="4"/>
        <v>41026583.254400007</v>
      </c>
      <c r="O46" s="165">
        <f t="shared" si="18"/>
        <v>3431128.7455999926</v>
      </c>
      <c r="P46" s="159">
        <f t="shared" si="19"/>
        <v>338652.40719071927</v>
      </c>
      <c r="Q46" s="169">
        <f t="shared" si="20"/>
        <v>134895.68280928076</v>
      </c>
    </row>
    <row r="47" spans="1:17" x14ac:dyDescent="0.3">
      <c r="A47" s="174">
        <v>2012</v>
      </c>
      <c r="B47" s="356" t="s">
        <v>257</v>
      </c>
      <c r="C47" s="175">
        <v>227236</v>
      </c>
      <c r="D47" s="176">
        <v>0</v>
      </c>
      <c r="E47" s="175">
        <v>5059027</v>
      </c>
      <c r="F47" s="177">
        <v>-499325.95</v>
      </c>
      <c r="G47" s="161">
        <f t="shared" si="15"/>
        <v>5286263</v>
      </c>
      <c r="H47" s="159">
        <v>499325.95</v>
      </c>
      <c r="I47" s="162">
        <f>'PPD Estimations 09-14'!M44</f>
        <v>46856956</v>
      </c>
      <c r="J47" s="161">
        <f t="shared" si="17"/>
        <v>41570693</v>
      </c>
      <c r="K47" s="163">
        <f>J47/(J47+'PPD Estimations 09-14'!L44)</f>
        <v>8.9965055337292876E-2</v>
      </c>
      <c r="L47" s="164">
        <f t="shared" si="2"/>
        <v>462076001</v>
      </c>
      <c r="M47" s="163">
        <f t="shared" si="21"/>
        <v>9.3565055337292882E-2</v>
      </c>
      <c r="N47" s="164">
        <f t="shared" si="4"/>
        <v>43234166.603600003</v>
      </c>
      <c r="O47" s="165">
        <f t="shared" si="18"/>
        <v>3622789.3963999972</v>
      </c>
      <c r="P47" s="159">
        <f t="shared" si="19"/>
        <v>357569.31342467968</v>
      </c>
      <c r="Q47" s="169">
        <f t="shared" si="20"/>
        <v>141756.63657532033</v>
      </c>
    </row>
    <row r="48" spans="1:17" x14ac:dyDescent="0.3">
      <c r="A48" s="174">
        <v>2012</v>
      </c>
      <c r="B48" s="356" t="s">
        <v>258</v>
      </c>
      <c r="C48" s="175">
        <v>225111</v>
      </c>
      <c r="D48" s="176">
        <v>0</v>
      </c>
      <c r="E48" s="175">
        <v>4954191</v>
      </c>
      <c r="F48" s="177">
        <v>-488978.65</v>
      </c>
      <c r="G48" s="161">
        <f t="shared" si="15"/>
        <v>5179302</v>
      </c>
      <c r="H48" s="159">
        <v>488978.65</v>
      </c>
      <c r="I48" s="162">
        <f>'PPD Estimations 09-14'!M45</f>
        <v>45421899</v>
      </c>
      <c r="J48" s="161">
        <f t="shared" si="17"/>
        <v>40242597</v>
      </c>
      <c r="K48" s="163">
        <f>J48/(J48+'PPD Estimations 09-14'!L45)</f>
        <v>8.9829958643228278E-2</v>
      </c>
      <c r="L48" s="164">
        <f t="shared" si="2"/>
        <v>447986369</v>
      </c>
      <c r="M48" s="163">
        <f t="shared" si="21"/>
        <v>9.3429958643228284E-2</v>
      </c>
      <c r="N48" s="164">
        <f t="shared" si="4"/>
        <v>41855347.928400002</v>
      </c>
      <c r="O48" s="165">
        <f t="shared" si="18"/>
        <v>3566551.0715999976</v>
      </c>
      <c r="P48" s="159">
        <f t="shared" si="19"/>
        <v>352018.59076691972</v>
      </c>
      <c r="Q48" s="169">
        <f t="shared" si="20"/>
        <v>136960.0592330803</v>
      </c>
    </row>
    <row r="49" spans="1:17" x14ac:dyDescent="0.3">
      <c r="A49" s="174">
        <v>2012</v>
      </c>
      <c r="B49" s="356" t="s">
        <v>6</v>
      </c>
      <c r="C49" s="175">
        <v>214926</v>
      </c>
      <c r="D49" s="176">
        <v>-3675.23</v>
      </c>
      <c r="E49" s="175">
        <v>5345205</v>
      </c>
      <c r="F49" s="177">
        <v>-527571.73</v>
      </c>
      <c r="G49" s="161">
        <f t="shared" si="15"/>
        <v>5560131</v>
      </c>
      <c r="H49" s="159">
        <v>531246.96</v>
      </c>
      <c r="I49" s="162">
        <f>'PPD Estimations 09-14'!M46</f>
        <v>45767891</v>
      </c>
      <c r="J49" s="161">
        <f t="shared" si="17"/>
        <v>40207760</v>
      </c>
      <c r="K49" s="163">
        <f>J49/(J49+'PPD Estimations 09-14'!L46)</f>
        <v>8.9124460307585765E-2</v>
      </c>
      <c r="L49" s="164">
        <f t="shared" si="2"/>
        <v>451141693.99999994</v>
      </c>
      <c r="M49" s="163">
        <f t="shared" si="21"/>
        <v>9.2724460307585771E-2</v>
      </c>
      <c r="N49" s="164">
        <f t="shared" si="4"/>
        <v>41831870.098399997</v>
      </c>
      <c r="O49" s="165">
        <f t="shared" si="18"/>
        <v>3936020.9016000032</v>
      </c>
      <c r="P49" s="159">
        <f t="shared" si="19"/>
        <v>388485.26298792032</v>
      </c>
      <c r="Q49" s="169">
        <f t="shared" si="20"/>
        <v>142761.69701207965</v>
      </c>
    </row>
    <row r="50" spans="1:17" x14ac:dyDescent="0.3">
      <c r="A50" s="174">
        <v>2012</v>
      </c>
      <c r="B50" s="356" t="s">
        <v>7</v>
      </c>
      <c r="C50" s="175">
        <v>213467</v>
      </c>
      <c r="D50" s="176">
        <v>-29714.61</v>
      </c>
      <c r="E50" s="175">
        <v>4799985</v>
      </c>
      <c r="F50" s="177">
        <v>-473758.49</v>
      </c>
      <c r="G50" s="161">
        <f t="shared" si="15"/>
        <v>5013452</v>
      </c>
      <c r="H50" s="159">
        <v>503473.1</v>
      </c>
      <c r="I50" s="162">
        <f>'PPD Estimations 09-14'!M47</f>
        <v>40985960</v>
      </c>
      <c r="J50" s="161">
        <f t="shared" si="17"/>
        <v>35972508</v>
      </c>
      <c r="K50" s="163">
        <f>J50/(J50+'PPD Estimations 09-14'!L47)</f>
        <v>8.8835584559118635E-2</v>
      </c>
      <c r="L50" s="164">
        <f t="shared" si="2"/>
        <v>404933543</v>
      </c>
      <c r="M50" s="163">
        <f t="shared" si="21"/>
        <v>9.2435584559118641E-2</v>
      </c>
      <c r="N50" s="164">
        <f t="shared" si="4"/>
        <v>37430268.754800007</v>
      </c>
      <c r="O50" s="165">
        <f t="shared" si="18"/>
        <v>3555691.2451999933</v>
      </c>
      <c r="P50" s="159">
        <f t="shared" si="19"/>
        <v>350946.72590123932</v>
      </c>
      <c r="Q50" s="169">
        <f t="shared" si="20"/>
        <v>152526.37409876066</v>
      </c>
    </row>
    <row r="51" spans="1:17" x14ac:dyDescent="0.3">
      <c r="A51" s="174">
        <v>2012</v>
      </c>
      <c r="B51" s="356" t="s">
        <v>8</v>
      </c>
      <c r="C51" s="175">
        <v>238225</v>
      </c>
      <c r="D51" s="176">
        <v>-45882.13</v>
      </c>
      <c r="E51" s="175">
        <v>5039933</v>
      </c>
      <c r="F51" s="177">
        <v>-497441.4</v>
      </c>
      <c r="G51" s="161">
        <f t="shared" si="15"/>
        <v>5278158</v>
      </c>
      <c r="H51" s="159">
        <v>543323.53</v>
      </c>
      <c r="I51" s="162">
        <f>'PPD Estimations 09-14'!M48</f>
        <v>43482329</v>
      </c>
      <c r="J51" s="161">
        <f t="shared" si="17"/>
        <v>38204171</v>
      </c>
      <c r="K51" s="163">
        <f>J51/(J51+'PPD Estimations 09-14'!L48)</f>
        <v>8.8409274756954148E-2</v>
      </c>
      <c r="L51" s="164">
        <f t="shared" si="2"/>
        <v>432128542</v>
      </c>
      <c r="M51" s="163">
        <f t="shared" si="21"/>
        <v>9.2009274756954154E-2</v>
      </c>
      <c r="N51" s="164">
        <f t="shared" si="4"/>
        <v>39759833.751200005</v>
      </c>
      <c r="O51" s="165">
        <f t="shared" si="18"/>
        <v>3722495.2487999946</v>
      </c>
      <c r="P51" s="159">
        <f t="shared" si="19"/>
        <v>367410.28105655947</v>
      </c>
      <c r="Q51" s="169">
        <f t="shared" si="20"/>
        <v>175913.24894344056</v>
      </c>
    </row>
    <row r="52" spans="1:17" x14ac:dyDescent="0.3">
      <c r="A52" s="174">
        <v>2012</v>
      </c>
      <c r="B52" s="356" t="s">
        <v>259</v>
      </c>
      <c r="C52" s="175">
        <v>260997</v>
      </c>
      <c r="D52" s="176">
        <v>-12971.55</v>
      </c>
      <c r="E52" s="175">
        <v>5632914</v>
      </c>
      <c r="F52" s="177">
        <v>-555968.59</v>
      </c>
      <c r="G52" s="161">
        <f t="shared" si="15"/>
        <v>5893911</v>
      </c>
      <c r="H52" s="159">
        <v>568940.14</v>
      </c>
      <c r="I52" s="162">
        <f>'PPD Estimations 09-14'!M49</f>
        <v>47074741</v>
      </c>
      <c r="J52" s="161">
        <f t="shared" si="17"/>
        <v>41180830</v>
      </c>
      <c r="K52" s="163">
        <f>J52/(J52+'PPD Estimations 09-14'!L49)</f>
        <v>8.801350928416625E-2</v>
      </c>
      <c r="L52" s="164">
        <f t="shared" si="2"/>
        <v>467892149</v>
      </c>
      <c r="M52" s="163">
        <f t="shared" si="21"/>
        <v>9.1613509284166256E-2</v>
      </c>
      <c r="N52" s="164">
        <f t="shared" si="4"/>
        <v>42865241.736400001</v>
      </c>
      <c r="O52" s="165">
        <f t="shared" si="18"/>
        <v>4209499.2635999992</v>
      </c>
      <c r="P52" s="159">
        <f t="shared" si="19"/>
        <v>415477.57731731993</v>
      </c>
      <c r="Q52" s="169">
        <f t="shared" si="20"/>
        <v>153462.56268268009</v>
      </c>
    </row>
    <row r="53" spans="1:17" x14ac:dyDescent="0.3">
      <c r="A53" s="174">
        <v>2012</v>
      </c>
      <c r="B53" s="356" t="s">
        <v>260</v>
      </c>
      <c r="C53" s="175">
        <v>235512</v>
      </c>
      <c r="D53" s="176">
        <v>-6193.96</v>
      </c>
      <c r="E53" s="175">
        <v>5290270</v>
      </c>
      <c r="F53" s="177">
        <v>-522149.67</v>
      </c>
      <c r="G53" s="161">
        <f t="shared" si="15"/>
        <v>5525782</v>
      </c>
      <c r="H53" s="159">
        <v>528343.63</v>
      </c>
      <c r="I53" s="162">
        <f>'PPD Estimations 09-14'!M50</f>
        <v>44761145</v>
      </c>
      <c r="J53" s="161">
        <f t="shared" si="17"/>
        <v>39235363</v>
      </c>
      <c r="K53" s="163">
        <f>J53/(J53+'PPD Estimations 09-14'!L50)</f>
        <v>8.8977993862722829E-2</v>
      </c>
      <c r="L53" s="164">
        <f t="shared" si="2"/>
        <v>440955806</v>
      </c>
      <c r="M53" s="163">
        <f t="shared" si="21"/>
        <v>9.2577993862722835E-2</v>
      </c>
      <c r="N53" s="164">
        <f t="shared" si="4"/>
        <v>40822803.901600003</v>
      </c>
      <c r="O53" s="165">
        <f t="shared" si="18"/>
        <v>3938341.0983999968</v>
      </c>
      <c r="P53" s="159">
        <f t="shared" si="19"/>
        <v>388714.26641207968</v>
      </c>
      <c r="Q53" s="169">
        <f t="shared" si="20"/>
        <v>139629.36358792032</v>
      </c>
    </row>
    <row r="54" spans="1:17" x14ac:dyDescent="0.3">
      <c r="A54" s="174">
        <v>2012</v>
      </c>
      <c r="B54" s="356" t="s">
        <v>261</v>
      </c>
      <c r="C54" s="175">
        <v>252616</v>
      </c>
      <c r="D54" s="176">
        <v>0</v>
      </c>
      <c r="E54" s="175">
        <v>5223714</v>
      </c>
      <c r="F54" s="177">
        <v>-515580.59</v>
      </c>
      <c r="G54" s="161">
        <f t="shared" si="15"/>
        <v>5476330</v>
      </c>
      <c r="H54" s="159">
        <v>515580.59</v>
      </c>
      <c r="I54" s="162">
        <f>'PPD Estimations 09-14'!M51</f>
        <v>49614114</v>
      </c>
      <c r="J54" s="161">
        <f t="shared" si="17"/>
        <v>44137784</v>
      </c>
      <c r="K54" s="163">
        <f>J54/(J54+'PPD Estimations 09-14'!L51)</f>
        <v>9.017669453626688E-2</v>
      </c>
      <c r="L54" s="164">
        <f t="shared" si="2"/>
        <v>489458881</v>
      </c>
      <c r="M54" s="163">
        <f t="shared" si="21"/>
        <v>9.3776694536266886E-2</v>
      </c>
      <c r="N54" s="164">
        <f t="shared" si="4"/>
        <v>45899835.971600004</v>
      </c>
      <c r="O54" s="165">
        <f t="shared" si="18"/>
        <v>3714278.0283999965</v>
      </c>
      <c r="P54" s="159">
        <f t="shared" si="19"/>
        <v>366599.24140307965</v>
      </c>
      <c r="Q54" s="169">
        <f t="shared" si="20"/>
        <v>148981.34859692038</v>
      </c>
    </row>
    <row r="55" spans="1:17" x14ac:dyDescent="0.3">
      <c r="A55" s="174">
        <v>2012</v>
      </c>
      <c r="B55" s="356" t="s">
        <v>262</v>
      </c>
      <c r="C55" s="175">
        <v>296206</v>
      </c>
      <c r="D55" s="176">
        <v>-23074.46</v>
      </c>
      <c r="E55" s="175">
        <v>4747560</v>
      </c>
      <c r="F55" s="177">
        <v>-468584.17</v>
      </c>
      <c r="G55" s="161">
        <f t="shared" si="15"/>
        <v>5043766</v>
      </c>
      <c r="H55" s="159">
        <v>491658.63</v>
      </c>
      <c r="I55" s="162">
        <f>'PPD Estimations 09-14'!M52</f>
        <v>47337120</v>
      </c>
      <c r="J55" s="161">
        <f t="shared" si="17"/>
        <v>42293354</v>
      </c>
      <c r="K55" s="163">
        <f>J55/(J55+'PPD Estimations 09-14'!L52)</f>
        <v>9.0616947423050792E-2</v>
      </c>
      <c r="L55" s="164">
        <f t="shared" si="2"/>
        <v>466726756.99999994</v>
      </c>
      <c r="M55" s="163">
        <f t="shared" si="21"/>
        <v>9.4216947423050798E-2</v>
      </c>
      <c r="N55" s="164">
        <f t="shared" si="4"/>
        <v>43973570.325199999</v>
      </c>
      <c r="O55" s="165">
        <f t="shared" si="18"/>
        <v>3363549.6748000011</v>
      </c>
      <c r="P55" s="159">
        <f t="shared" si="19"/>
        <v>331982.35290276009</v>
      </c>
      <c r="Q55" s="169">
        <f t="shared" si="20"/>
        <v>159676.27709723992</v>
      </c>
    </row>
    <row r="56" spans="1:17" s="134" customFormat="1" ht="12.6" thickBot="1" x14ac:dyDescent="0.35">
      <c r="A56" s="174">
        <v>2012</v>
      </c>
      <c r="B56" s="357" t="s">
        <v>263</v>
      </c>
      <c r="C56" s="175">
        <v>239141</v>
      </c>
      <c r="D56" s="176">
        <v>-12291.83</v>
      </c>
      <c r="E56" s="175">
        <v>4644832</v>
      </c>
      <c r="F56" s="177">
        <v>-458444.9</v>
      </c>
      <c r="G56" s="161">
        <f t="shared" si="15"/>
        <v>4883973</v>
      </c>
      <c r="H56" s="159">
        <v>470736.73000000004</v>
      </c>
      <c r="I56" s="162">
        <f>'PPD Estimations 09-14'!M53</f>
        <v>46349617</v>
      </c>
      <c r="J56" s="161">
        <f t="shared" si="17"/>
        <v>41465644</v>
      </c>
      <c r="K56" s="163">
        <f>J56/(J56+'PPD Estimations 09-14'!L53)</f>
        <v>9.0541032336944216E-2</v>
      </c>
      <c r="L56" s="164">
        <f t="shared" si="2"/>
        <v>457976267</v>
      </c>
      <c r="M56" s="163">
        <f t="shared" si="21"/>
        <v>9.4141032336944222E-2</v>
      </c>
      <c r="N56" s="164">
        <f t="shared" si="4"/>
        <v>43114358.5612</v>
      </c>
      <c r="O56" s="165">
        <f t="shared" si="18"/>
        <v>3235258.4387999997</v>
      </c>
      <c r="P56" s="159">
        <f t="shared" si="19"/>
        <v>319320.00790955994</v>
      </c>
      <c r="Q56" s="169">
        <f t="shared" si="20"/>
        <v>151416.7220904401</v>
      </c>
    </row>
    <row r="57" spans="1:17" ht="13.2" thickTop="1" thickBot="1" x14ac:dyDescent="0.35">
      <c r="A57" s="187">
        <v>2012</v>
      </c>
      <c r="B57" s="188" t="s">
        <v>14</v>
      </c>
      <c r="C57" s="189">
        <f t="shared" ref="C57:F57" si="22">SUM(C45:C56)</f>
        <v>2874757</v>
      </c>
      <c r="D57" s="190">
        <f t="shared" si="22"/>
        <v>-137358.34</v>
      </c>
      <c r="E57" s="189">
        <f t="shared" si="22"/>
        <v>60541017</v>
      </c>
      <c r="F57" s="191">
        <f t="shared" si="22"/>
        <v>-5975398.3500000006</v>
      </c>
      <c r="G57" s="161">
        <f t="shared" si="15"/>
        <v>63415774</v>
      </c>
      <c r="H57" s="159">
        <v>6112756.6900000004</v>
      </c>
      <c r="I57" s="166">
        <f>SUM(I45:I56)</f>
        <v>550910228</v>
      </c>
      <c r="J57" s="167">
        <f>SUM(J45:J56)</f>
        <v>487494454</v>
      </c>
      <c r="K57" s="134"/>
      <c r="L57" s="134"/>
      <c r="M57" s="134"/>
      <c r="N57" s="170">
        <f>SUM(N45:N56)</f>
        <v>507085163.74120009</v>
      </c>
      <c r="O57" s="10">
        <f t="shared" si="18"/>
        <v>43825064.258799911</v>
      </c>
      <c r="P57" s="159">
        <f t="shared" si="19"/>
        <v>4325533.8423435511</v>
      </c>
      <c r="Q57" s="195">
        <f>SUM(Q45:Q56)</f>
        <v>1787222.8476564432</v>
      </c>
    </row>
    <row r="58" spans="1:17" ht="12.6" thickTop="1" x14ac:dyDescent="0.3">
      <c r="A58" s="174">
        <v>2013</v>
      </c>
      <c r="B58" s="356" t="s">
        <v>255</v>
      </c>
      <c r="C58" s="175">
        <v>231212</v>
      </c>
      <c r="D58" s="176">
        <v>0</v>
      </c>
      <c r="E58" s="175">
        <v>4840000</v>
      </c>
      <c r="F58" s="177">
        <v>-477707.99</v>
      </c>
      <c r="G58" s="161">
        <f t="shared" si="15"/>
        <v>5071212</v>
      </c>
      <c r="H58" s="159">
        <v>477707.99</v>
      </c>
      <c r="I58" s="162">
        <f>'PPD Estimations 09-14'!M54</f>
        <v>48170000</v>
      </c>
      <c r="J58" s="161">
        <f t="shared" ref="J58:J69" si="23">I58-G58</f>
        <v>43098788</v>
      </c>
      <c r="K58" s="163">
        <f>J58/(J58+'PPD Estimations 09-14'!L54)</f>
        <v>9.0568593663507252E-2</v>
      </c>
      <c r="L58" s="164">
        <f t="shared" si="2"/>
        <v>475869021</v>
      </c>
      <c r="M58" s="163">
        <f>K58+(2*0.0018)</f>
        <v>9.4168593663507258E-2</v>
      </c>
      <c r="N58" s="164">
        <f t="shared" si="4"/>
        <v>44811916.475600004</v>
      </c>
      <c r="O58" s="165">
        <f t="shared" ref="O58:O70" si="24">I58-N58</f>
        <v>3358083.5243999958</v>
      </c>
      <c r="P58" s="159">
        <f t="shared" ref="P58:P70" si="25">O58*0.0987</f>
        <v>331442.84385827958</v>
      </c>
      <c r="Q58" s="169">
        <f t="shared" ref="Q58:Q69" si="26">H58-P58</f>
        <v>146265.14614172041</v>
      </c>
    </row>
    <row r="59" spans="1:17" x14ac:dyDescent="0.3">
      <c r="A59" s="174">
        <v>2013</v>
      </c>
      <c r="B59" s="356" t="s">
        <v>256</v>
      </c>
      <c r="C59" s="175">
        <v>193665</v>
      </c>
      <c r="D59" s="176">
        <v>0</v>
      </c>
      <c r="E59" s="175">
        <v>4444055</v>
      </c>
      <c r="F59" s="177">
        <v>-438628.23</v>
      </c>
      <c r="G59" s="161">
        <f t="shared" si="15"/>
        <v>4637720</v>
      </c>
      <c r="H59" s="159">
        <v>438628.23</v>
      </c>
      <c r="I59" s="162">
        <f>'PPD Estimations 09-14'!M55</f>
        <v>41905530</v>
      </c>
      <c r="J59" s="161">
        <f t="shared" si="23"/>
        <v>37267810</v>
      </c>
      <c r="K59" s="163">
        <f>J59/(J59+'PPD Estimations 09-14'!L55)</f>
        <v>9.0088823275295701E-2</v>
      </c>
      <c r="L59" s="164">
        <f t="shared" si="2"/>
        <v>413678508</v>
      </c>
      <c r="M59" s="163">
        <f t="shared" ref="M59:M69" si="27">K59+(2*0.0018)</f>
        <v>9.3688823275295707E-2</v>
      </c>
      <c r="N59" s="164">
        <f t="shared" si="4"/>
        <v>38757052.628800005</v>
      </c>
      <c r="O59" s="165">
        <f t="shared" si="24"/>
        <v>3148477.3711999953</v>
      </c>
      <c r="P59" s="159">
        <f t="shared" si="25"/>
        <v>310754.7165374395</v>
      </c>
      <c r="Q59" s="169">
        <f t="shared" si="26"/>
        <v>127873.51346256048</v>
      </c>
    </row>
    <row r="60" spans="1:17" x14ac:dyDescent="0.3">
      <c r="A60" s="174">
        <v>2013</v>
      </c>
      <c r="B60" s="356" t="s">
        <v>257</v>
      </c>
      <c r="C60" s="175">
        <v>223075</v>
      </c>
      <c r="D60" s="176">
        <v>0</v>
      </c>
      <c r="E60" s="175">
        <v>4858452</v>
      </c>
      <c r="F60" s="177">
        <v>-479529.22</v>
      </c>
      <c r="G60" s="161">
        <f t="shared" si="15"/>
        <v>5081527</v>
      </c>
      <c r="H60" s="159">
        <v>479529.22</v>
      </c>
      <c r="I60" s="162">
        <f>'PPD Estimations 09-14'!M56</f>
        <v>44769549</v>
      </c>
      <c r="J60" s="161">
        <f t="shared" si="23"/>
        <v>39688022</v>
      </c>
      <c r="K60" s="163">
        <f>J60/(J60+'PPD Estimations 09-14'!L56)</f>
        <v>8.981104041837186E-2</v>
      </c>
      <c r="L60" s="164">
        <f t="shared" si="2"/>
        <v>441905826</v>
      </c>
      <c r="M60" s="163">
        <f t="shared" si="27"/>
        <v>9.3411040418371866E-2</v>
      </c>
      <c r="N60" s="164">
        <f t="shared" si="4"/>
        <v>41278882.973600008</v>
      </c>
      <c r="O60" s="165">
        <f t="shared" si="24"/>
        <v>3490666.0263999924</v>
      </c>
      <c r="P60" s="159">
        <f t="shared" si="25"/>
        <v>344528.73680567922</v>
      </c>
      <c r="Q60" s="169">
        <f t="shared" si="26"/>
        <v>135000.48319432075</v>
      </c>
    </row>
    <row r="61" spans="1:17" x14ac:dyDescent="0.3">
      <c r="A61" s="174">
        <v>2013</v>
      </c>
      <c r="B61" s="356" t="s">
        <v>258</v>
      </c>
      <c r="C61" s="175">
        <v>196655</v>
      </c>
      <c r="D61" s="176">
        <v>0</v>
      </c>
      <c r="E61" s="175">
        <v>4928946</v>
      </c>
      <c r="F61" s="177">
        <v>-486486.97</v>
      </c>
      <c r="G61" s="161">
        <f t="shared" si="15"/>
        <v>5125601</v>
      </c>
      <c r="H61" s="159">
        <v>486486.97</v>
      </c>
      <c r="I61" s="162">
        <f>'PPD Estimations 09-14'!M57</f>
        <v>45171835</v>
      </c>
      <c r="J61" s="161">
        <f t="shared" si="23"/>
        <v>40046234</v>
      </c>
      <c r="K61" s="163">
        <f>J61/(J61+'PPD Estimations 09-14'!L57)</f>
        <v>8.9704862110414466E-2</v>
      </c>
      <c r="L61" s="164">
        <f t="shared" si="2"/>
        <v>446422111.99999994</v>
      </c>
      <c r="M61" s="163">
        <f t="shared" si="27"/>
        <v>9.3304862110414472E-2</v>
      </c>
      <c r="N61" s="164">
        <f t="shared" si="4"/>
        <v>41653353.603200004</v>
      </c>
      <c r="O61" s="165">
        <f t="shared" si="24"/>
        <v>3518481.3967999965</v>
      </c>
      <c r="P61" s="159">
        <f t="shared" si="25"/>
        <v>347274.11386415962</v>
      </c>
      <c r="Q61" s="169">
        <f t="shared" si="26"/>
        <v>139212.85613584035</v>
      </c>
    </row>
    <row r="62" spans="1:17" x14ac:dyDescent="0.3">
      <c r="A62" s="174">
        <v>2013</v>
      </c>
      <c r="B62" s="356" t="s">
        <v>6</v>
      </c>
      <c r="C62" s="175">
        <v>218302</v>
      </c>
      <c r="D62" s="176">
        <v>0</v>
      </c>
      <c r="E62" s="175">
        <v>5111275</v>
      </c>
      <c r="F62" s="177">
        <v>-504482.85</v>
      </c>
      <c r="G62" s="161">
        <f t="shared" si="15"/>
        <v>5329577</v>
      </c>
      <c r="H62" s="159">
        <v>504482.85</v>
      </c>
      <c r="I62" s="162">
        <f>'PPD Estimations 09-14'!M58</f>
        <v>45994922</v>
      </c>
      <c r="J62" s="161">
        <f t="shared" si="23"/>
        <v>40665345</v>
      </c>
      <c r="K62" s="163">
        <f>J62/(J62+'PPD Estimations 09-14'!L58)</f>
        <v>8.9477521125927786E-2</v>
      </c>
      <c r="L62" s="164">
        <f t="shared" si="2"/>
        <v>454475543</v>
      </c>
      <c r="M62" s="163">
        <f t="shared" si="27"/>
        <v>9.3077521125927792E-2</v>
      </c>
      <c r="N62" s="164">
        <f t="shared" si="4"/>
        <v>42301456.954800002</v>
      </c>
      <c r="O62" s="165">
        <f t="shared" si="24"/>
        <v>3693465.0451999977</v>
      </c>
      <c r="P62" s="159">
        <f t="shared" si="25"/>
        <v>364544.99996123975</v>
      </c>
      <c r="Q62" s="169">
        <f t="shared" si="26"/>
        <v>139937.85003876023</v>
      </c>
    </row>
    <row r="63" spans="1:17" x14ac:dyDescent="0.3">
      <c r="A63" s="174">
        <v>2013</v>
      </c>
      <c r="B63" s="356" t="s">
        <v>7</v>
      </c>
      <c r="C63" s="175">
        <v>217597</v>
      </c>
      <c r="D63" s="176">
        <v>0</v>
      </c>
      <c r="E63" s="175">
        <v>4567630</v>
      </c>
      <c r="F63" s="177">
        <v>-450825.09</v>
      </c>
      <c r="G63" s="161">
        <f t="shared" si="15"/>
        <v>4785227</v>
      </c>
      <c r="H63" s="159">
        <v>450825.09</v>
      </c>
      <c r="I63" s="162">
        <f>'PPD Estimations 09-14'!M59</f>
        <v>39564643</v>
      </c>
      <c r="J63" s="161">
        <f t="shared" si="23"/>
        <v>34779416</v>
      </c>
      <c r="K63" s="163">
        <f>J63/(J63+'PPD Estimations 09-14'!L59)</f>
        <v>8.8931657944249967E-2</v>
      </c>
      <c r="L63" s="164">
        <f t="shared" si="2"/>
        <v>391080261</v>
      </c>
      <c r="M63" s="163">
        <f t="shared" si="27"/>
        <v>9.2531657944249973E-2</v>
      </c>
      <c r="N63" s="164">
        <f t="shared" si="4"/>
        <v>36187304.939600006</v>
      </c>
      <c r="O63" s="165">
        <f t="shared" si="24"/>
        <v>3377338.0603999943</v>
      </c>
      <c r="P63" s="159">
        <f t="shared" si="25"/>
        <v>333343.26656147942</v>
      </c>
      <c r="Q63" s="169">
        <f t="shared" si="26"/>
        <v>117481.8234385206</v>
      </c>
    </row>
    <row r="64" spans="1:17" x14ac:dyDescent="0.3">
      <c r="A64" s="174">
        <v>2013</v>
      </c>
      <c r="B64" s="356" t="s">
        <v>8</v>
      </c>
      <c r="C64" s="175">
        <v>255616</v>
      </c>
      <c r="D64" s="176">
        <v>0</v>
      </c>
      <c r="E64" s="175">
        <v>5057141</v>
      </c>
      <c r="F64" s="177">
        <v>-499139.83</v>
      </c>
      <c r="G64" s="161">
        <f t="shared" si="15"/>
        <v>5312757</v>
      </c>
      <c r="H64" s="159">
        <v>499139.83</v>
      </c>
      <c r="I64" s="162">
        <f>'PPD Estimations 09-14'!M60</f>
        <v>43121030</v>
      </c>
      <c r="J64" s="161">
        <f t="shared" si="23"/>
        <v>37808273</v>
      </c>
      <c r="K64" s="163">
        <f>J64/(J64+'PPD Estimations 09-14'!L60)</f>
        <v>8.8438019644611732E-2</v>
      </c>
      <c r="L64" s="164">
        <f t="shared" si="2"/>
        <v>427511529</v>
      </c>
      <c r="M64" s="163">
        <f t="shared" si="27"/>
        <v>9.2038019644611738E-2</v>
      </c>
      <c r="N64" s="164">
        <f t="shared" si="4"/>
        <v>39347314.5044</v>
      </c>
      <c r="O64" s="165">
        <f t="shared" si="24"/>
        <v>3773715.4956</v>
      </c>
      <c r="P64" s="159">
        <f t="shared" si="25"/>
        <v>372465.71941571997</v>
      </c>
      <c r="Q64" s="169">
        <f t="shared" si="26"/>
        <v>126674.11058428005</v>
      </c>
    </row>
    <row r="65" spans="1:17" x14ac:dyDescent="0.3">
      <c r="A65" s="174">
        <v>2013</v>
      </c>
      <c r="B65" s="356" t="s">
        <v>259</v>
      </c>
      <c r="C65" s="175">
        <v>216894</v>
      </c>
      <c r="D65" s="176">
        <v>0</v>
      </c>
      <c r="E65" s="175">
        <v>5072607</v>
      </c>
      <c r="F65" s="177">
        <v>-500666.31</v>
      </c>
      <c r="G65" s="161">
        <f t="shared" si="15"/>
        <v>5289501</v>
      </c>
      <c r="H65" s="159">
        <v>500666.31</v>
      </c>
      <c r="I65" s="162">
        <f>'PPD Estimations 09-14'!M61</f>
        <v>45321254</v>
      </c>
      <c r="J65" s="161">
        <f t="shared" si="23"/>
        <v>40031753</v>
      </c>
      <c r="K65" s="163">
        <f>J65/(J65+'PPD Estimations 09-14'!L61)</f>
        <v>8.907577120180038E-2</v>
      </c>
      <c r="L65" s="164">
        <f t="shared" si="2"/>
        <v>449412365</v>
      </c>
      <c r="M65" s="163">
        <f t="shared" si="27"/>
        <v>9.2675771201800386E-2</v>
      </c>
      <c r="N65" s="164">
        <f t="shared" si="4"/>
        <v>41649637.514000006</v>
      </c>
      <c r="O65" s="165">
        <f t="shared" si="24"/>
        <v>3671616.485999994</v>
      </c>
      <c r="P65" s="159">
        <f t="shared" si="25"/>
        <v>362388.54716819938</v>
      </c>
      <c r="Q65" s="169">
        <f t="shared" si="26"/>
        <v>138277.76283180062</v>
      </c>
    </row>
    <row r="66" spans="1:17" x14ac:dyDescent="0.3">
      <c r="A66" s="174">
        <v>2013</v>
      </c>
      <c r="B66" s="356" t="s">
        <v>260</v>
      </c>
      <c r="C66" s="175">
        <v>217333</v>
      </c>
      <c r="D66" s="176">
        <v>0</v>
      </c>
      <c r="E66" s="175">
        <v>5059632</v>
      </c>
      <c r="F66" s="177">
        <v>-499385.68</v>
      </c>
      <c r="G66" s="161">
        <f t="shared" si="15"/>
        <v>5276965</v>
      </c>
      <c r="H66" s="159">
        <v>499385.68</v>
      </c>
      <c r="I66" s="162">
        <f>'PPD Estimations 09-14'!M62</f>
        <v>45691861</v>
      </c>
      <c r="J66" s="161">
        <f t="shared" si="23"/>
        <v>40414896</v>
      </c>
      <c r="K66" s="163">
        <f>J66/(J66+'PPD Estimations 09-14'!L62)</f>
        <v>8.9664144428389284E-2</v>
      </c>
      <c r="L66" s="164">
        <f t="shared" si="2"/>
        <v>450736426</v>
      </c>
      <c r="M66" s="163">
        <f t="shared" si="27"/>
        <v>9.326414442838929E-2</v>
      </c>
      <c r="N66" s="164">
        <f t="shared" si="4"/>
        <v>42037547.133600004</v>
      </c>
      <c r="O66" s="165">
        <f t="shared" si="24"/>
        <v>3654313.866399996</v>
      </c>
      <c r="P66" s="159">
        <f t="shared" si="25"/>
        <v>360680.77861367958</v>
      </c>
      <c r="Q66" s="169">
        <f t="shared" si="26"/>
        <v>138704.90138632042</v>
      </c>
    </row>
    <row r="67" spans="1:17" x14ac:dyDescent="0.3">
      <c r="A67" s="174">
        <v>2013</v>
      </c>
      <c r="B67" s="356" t="s">
        <v>261</v>
      </c>
      <c r="C67" s="175">
        <v>216660</v>
      </c>
      <c r="D67" s="176">
        <v>0</v>
      </c>
      <c r="E67" s="175">
        <v>4861924</v>
      </c>
      <c r="F67" s="177">
        <v>-479871.9</v>
      </c>
      <c r="G67" s="161">
        <f t="shared" si="15"/>
        <v>5078584</v>
      </c>
      <c r="H67" s="159">
        <v>479871.9</v>
      </c>
      <c r="I67" s="162">
        <f>'PPD Estimations 09-14'!M63</f>
        <v>48983130</v>
      </c>
      <c r="J67" s="161">
        <f t="shared" si="23"/>
        <v>43904546</v>
      </c>
      <c r="K67" s="163">
        <f>J67/(J67+'PPD Estimations 09-14'!L63)</f>
        <v>9.1085047150811074E-2</v>
      </c>
      <c r="L67" s="164">
        <f t="shared" si="2"/>
        <v>482017053</v>
      </c>
      <c r="M67" s="163">
        <f t="shared" si="27"/>
        <v>9.468504715081108E-2</v>
      </c>
      <c r="N67" s="164">
        <f t="shared" si="4"/>
        <v>45639807.390800007</v>
      </c>
      <c r="O67" s="165">
        <f t="shared" si="24"/>
        <v>3343322.6091999933</v>
      </c>
      <c r="P67" s="159">
        <f t="shared" si="25"/>
        <v>329985.94152803934</v>
      </c>
      <c r="Q67" s="169">
        <f t="shared" si="26"/>
        <v>149885.95847196068</v>
      </c>
    </row>
    <row r="68" spans="1:17" x14ac:dyDescent="0.3">
      <c r="A68" s="174">
        <v>2013</v>
      </c>
      <c r="B68" s="356" t="s">
        <v>262</v>
      </c>
      <c r="C68" s="175">
        <v>231815</v>
      </c>
      <c r="D68" s="176">
        <v>0</v>
      </c>
      <c r="E68" s="175">
        <v>4256925</v>
      </c>
      <c r="F68" s="177">
        <v>-420158.5</v>
      </c>
      <c r="G68" s="161">
        <f t="shared" si="15"/>
        <v>4488740</v>
      </c>
      <c r="H68" s="159">
        <v>420158.5</v>
      </c>
      <c r="I68" s="162">
        <f>'PPD Estimations 09-14'!M64</f>
        <v>45014342</v>
      </c>
      <c r="J68" s="161">
        <f t="shared" si="23"/>
        <v>40525602</v>
      </c>
      <c r="K68" s="163">
        <f>J68/(J68+'PPD Estimations 09-14'!L64)</f>
        <v>9.1649880268927619E-2</v>
      </c>
      <c r="L68" s="164">
        <f t="shared" si="2"/>
        <v>442178450</v>
      </c>
      <c r="M68" s="163">
        <f t="shared" si="27"/>
        <v>9.5249880268927625E-2</v>
      </c>
      <c r="N68" s="164">
        <f t="shared" si="4"/>
        <v>42117444.420000002</v>
      </c>
      <c r="O68" s="165">
        <f t="shared" si="24"/>
        <v>2896897.5799999982</v>
      </c>
      <c r="P68" s="159">
        <f t="shared" si="25"/>
        <v>285923.7911459998</v>
      </c>
      <c r="Q68" s="169">
        <f t="shared" si="26"/>
        <v>134234.7088540002</v>
      </c>
    </row>
    <row r="69" spans="1:17" s="134" customFormat="1" ht="12.6" thickBot="1" x14ac:dyDescent="0.35">
      <c r="A69" s="178">
        <v>2013</v>
      </c>
      <c r="B69" s="357" t="s">
        <v>263</v>
      </c>
      <c r="C69" s="179">
        <v>245167</v>
      </c>
      <c r="D69" s="180">
        <v>0</v>
      </c>
      <c r="E69" s="179">
        <v>4284930</v>
      </c>
      <c r="F69" s="181">
        <v>-422922.61</v>
      </c>
      <c r="G69" s="161">
        <f t="shared" si="15"/>
        <v>4530097</v>
      </c>
      <c r="H69" s="159">
        <v>422922.61</v>
      </c>
      <c r="I69" s="162">
        <f>'PPD Estimations 09-14'!M65</f>
        <v>47011710</v>
      </c>
      <c r="J69" s="161">
        <f t="shared" si="23"/>
        <v>42481613</v>
      </c>
      <c r="K69" s="163">
        <f>J69/(J69+'PPD Estimations 09-14'!L65)</f>
        <v>9.1651621492295207E-2</v>
      </c>
      <c r="L69" s="164">
        <f t="shared" si="2"/>
        <v>463511854</v>
      </c>
      <c r="M69" s="163">
        <f t="shared" si="27"/>
        <v>9.5251621492295213E-2</v>
      </c>
      <c r="N69" s="164">
        <f t="shared" si="4"/>
        <v>44150255.674400002</v>
      </c>
      <c r="O69" s="165">
        <f t="shared" si="24"/>
        <v>2861454.3255999982</v>
      </c>
      <c r="P69" s="159">
        <f t="shared" si="25"/>
        <v>282425.54193671979</v>
      </c>
      <c r="Q69" s="169">
        <f t="shared" si="26"/>
        <v>140497.0680632802</v>
      </c>
    </row>
    <row r="70" spans="1:17" ht="13.2" thickTop="1" thickBot="1" x14ac:dyDescent="0.35">
      <c r="A70" s="182">
        <v>2013</v>
      </c>
      <c r="B70" s="183" t="s">
        <v>14</v>
      </c>
      <c r="C70" s="184">
        <f t="shared" ref="C70:F70" si="28">SUM(C58:C69)</f>
        <v>2663991</v>
      </c>
      <c r="D70" s="185">
        <f t="shared" si="28"/>
        <v>0</v>
      </c>
      <c r="E70" s="184">
        <f t="shared" si="28"/>
        <v>57343517</v>
      </c>
      <c r="F70" s="186">
        <f t="shared" si="28"/>
        <v>-5659805.1800000006</v>
      </c>
      <c r="G70" s="161">
        <f t="shared" ref="G70:G83" si="29">C70+E70</f>
        <v>60007508</v>
      </c>
      <c r="H70" s="159">
        <v>5659805.1800000006</v>
      </c>
      <c r="I70" s="166">
        <f>SUM(I58:I69)</f>
        <v>540719806</v>
      </c>
      <c r="J70" s="167">
        <f>SUM(J58:J69)</f>
        <v>480712298</v>
      </c>
      <c r="K70" s="134"/>
      <c r="L70" s="134"/>
      <c r="M70" s="134"/>
      <c r="N70" s="170">
        <f>SUM(N58:N69)</f>
        <v>499931974.21280003</v>
      </c>
      <c r="O70" s="10">
        <f t="shared" si="24"/>
        <v>40787831.787199974</v>
      </c>
      <c r="P70" s="159">
        <f t="shared" si="25"/>
        <v>4025758.9973966372</v>
      </c>
      <c r="Q70" s="195">
        <f>SUM(Q58:Q69)</f>
        <v>1634046.1826033648</v>
      </c>
    </row>
    <row r="71" spans="1:17" ht="12.6" thickTop="1" x14ac:dyDescent="0.3">
      <c r="A71" s="174">
        <v>2014</v>
      </c>
      <c r="B71" s="356" t="s">
        <v>255</v>
      </c>
      <c r="C71" s="175">
        <v>287228</v>
      </c>
      <c r="D71" s="176">
        <v>0</v>
      </c>
      <c r="E71" s="175">
        <v>4552507</v>
      </c>
      <c r="F71" s="177">
        <v>-449332.41</v>
      </c>
      <c r="G71" s="161">
        <f t="shared" si="29"/>
        <v>4839735</v>
      </c>
      <c r="H71" s="159">
        <v>449332.41</v>
      </c>
      <c r="I71" s="162">
        <f>'PPD Estimations 09-14'!M66</f>
        <v>46327618</v>
      </c>
      <c r="J71" s="161">
        <f t="shared" ref="J71:J82" si="30">I71-G71</f>
        <v>41487883</v>
      </c>
      <c r="K71" s="163">
        <f>J71/(J71+'PPD Estimations 09-14'!L66)</f>
        <v>9.0681350657938239E-2</v>
      </c>
      <c r="L71" s="164">
        <f t="shared" si="2"/>
        <v>457512848</v>
      </c>
      <c r="M71" s="163">
        <f>K71+(2*0.0018)</f>
        <v>9.4281350657938245E-2</v>
      </c>
      <c r="N71" s="164">
        <f t="shared" si="4"/>
        <v>43134929.252800003</v>
      </c>
      <c r="O71" s="165">
        <f t="shared" ref="O71:O83" si="31">I71-N71</f>
        <v>3192688.7471999973</v>
      </c>
      <c r="P71" s="159">
        <f t="shared" ref="P71:P83" si="32">O71*0.0987</f>
        <v>315118.37934863975</v>
      </c>
      <c r="Q71" s="169">
        <f t="shared" ref="Q71:Q82" si="33">H71-P71</f>
        <v>134214.03065136023</v>
      </c>
    </row>
    <row r="72" spans="1:17" x14ac:dyDescent="0.3">
      <c r="A72" s="174">
        <v>2014</v>
      </c>
      <c r="B72" s="356" t="s">
        <v>256</v>
      </c>
      <c r="C72" s="175">
        <v>291982</v>
      </c>
      <c r="D72" s="176">
        <v>0</v>
      </c>
      <c r="E72" s="175">
        <v>4202011</v>
      </c>
      <c r="F72" s="177">
        <v>-414738.49</v>
      </c>
      <c r="G72" s="161">
        <f t="shared" si="29"/>
        <v>4493993</v>
      </c>
      <c r="H72" s="159">
        <v>414738.49</v>
      </c>
      <c r="I72" s="162">
        <f>'PPD Estimations 09-14'!M67</f>
        <v>42257475</v>
      </c>
      <c r="J72" s="161">
        <f t="shared" si="30"/>
        <v>37763482</v>
      </c>
      <c r="K72" s="163">
        <f>J72/(J72+'PPD Estimations 09-14'!L67)</f>
        <v>9.061791716112487E-2</v>
      </c>
      <c r="L72" s="164">
        <f t="shared" si="2"/>
        <v>416733061.00000006</v>
      </c>
      <c r="M72" s="163">
        <f t="shared" ref="M72:M82" si="34">K72+(2*0.0018)</f>
        <v>9.4217917161124876E-2</v>
      </c>
      <c r="N72" s="164">
        <f t="shared" si="4"/>
        <v>39263721.019600004</v>
      </c>
      <c r="O72" s="165">
        <f t="shared" si="31"/>
        <v>2993753.980399996</v>
      </c>
      <c r="P72" s="159">
        <f t="shared" si="32"/>
        <v>295483.51786547957</v>
      </c>
      <c r="Q72" s="169">
        <f t="shared" si="33"/>
        <v>119254.97213452042</v>
      </c>
    </row>
    <row r="73" spans="1:17" x14ac:dyDescent="0.3">
      <c r="A73" s="174">
        <v>2014</v>
      </c>
      <c r="B73" s="356" t="s">
        <v>257</v>
      </c>
      <c r="C73" s="175">
        <v>335583</v>
      </c>
      <c r="D73" s="176">
        <v>0</v>
      </c>
      <c r="E73" s="175">
        <v>4638728</v>
      </c>
      <c r="F73" s="177">
        <v>-457842.43</v>
      </c>
      <c r="G73" s="161">
        <f t="shared" si="29"/>
        <v>4974311</v>
      </c>
      <c r="H73" s="159">
        <v>457842.43</v>
      </c>
      <c r="I73" s="162">
        <f>'PPD Estimations 09-14'!M68</f>
        <v>45253028</v>
      </c>
      <c r="J73" s="161">
        <f t="shared" si="30"/>
        <v>40278717</v>
      </c>
      <c r="K73" s="163">
        <f>J73/(J73+'PPD Estimations 09-14'!L68)</f>
        <v>9.0035865167891332E-2</v>
      </c>
      <c r="L73" s="164">
        <f t="shared" ref="L73:L82" si="35">J73/K73</f>
        <v>447363025</v>
      </c>
      <c r="M73" s="163">
        <f t="shared" si="34"/>
        <v>9.3635865167891338E-2</v>
      </c>
      <c r="N73" s="164">
        <f t="shared" ref="N73:N82" si="36">L73*M73</f>
        <v>41889223.890000001</v>
      </c>
      <c r="O73" s="165">
        <f t="shared" si="31"/>
        <v>3363804.1099999994</v>
      </c>
      <c r="P73" s="159">
        <f t="shared" si="32"/>
        <v>332007.46565699991</v>
      </c>
      <c r="Q73" s="169">
        <f t="shared" si="33"/>
        <v>125834.96434300009</v>
      </c>
    </row>
    <row r="74" spans="1:17" x14ac:dyDescent="0.3">
      <c r="A74" s="174">
        <v>2014</v>
      </c>
      <c r="B74" s="356" t="s">
        <v>258</v>
      </c>
      <c r="C74" s="175">
        <v>320017</v>
      </c>
      <c r="D74" s="176">
        <v>0</v>
      </c>
      <c r="E74" s="175">
        <v>4505487</v>
      </c>
      <c r="F74" s="177">
        <v>-444691.58</v>
      </c>
      <c r="G74" s="161">
        <f t="shared" si="29"/>
        <v>4825504</v>
      </c>
      <c r="H74" s="159">
        <v>444691.58</v>
      </c>
      <c r="I74" s="162">
        <f>'PPD Estimations 09-14'!M69</f>
        <v>44611676</v>
      </c>
      <c r="J74" s="161">
        <f t="shared" si="30"/>
        <v>39786172</v>
      </c>
      <c r="K74" s="163">
        <f>J74/(J74+'PPD Estimations 09-14'!L69)</f>
        <v>9.007820504966553E-2</v>
      </c>
      <c r="L74" s="164">
        <f t="shared" si="35"/>
        <v>441684778</v>
      </c>
      <c r="M74" s="163">
        <f t="shared" si="34"/>
        <v>9.3678205049665536E-2</v>
      </c>
      <c r="N74" s="164">
        <f t="shared" si="36"/>
        <v>41376237.200800002</v>
      </c>
      <c r="O74" s="165">
        <f t="shared" si="31"/>
        <v>3235438.7991999984</v>
      </c>
      <c r="P74" s="159">
        <f t="shared" si="32"/>
        <v>319337.80948103982</v>
      </c>
      <c r="Q74" s="169">
        <f t="shared" si="33"/>
        <v>125353.7705189602</v>
      </c>
    </row>
    <row r="75" spans="1:17" x14ac:dyDescent="0.3">
      <c r="A75" s="174">
        <v>2014</v>
      </c>
      <c r="B75" s="356" t="s">
        <v>6</v>
      </c>
      <c r="C75" s="175">
        <v>350905</v>
      </c>
      <c r="D75" s="176">
        <v>0</v>
      </c>
      <c r="E75" s="175">
        <v>4729315</v>
      </c>
      <c r="F75" s="177">
        <v>-466783.38</v>
      </c>
      <c r="G75" s="161">
        <f t="shared" si="29"/>
        <v>5080220</v>
      </c>
      <c r="H75" s="159">
        <v>466783.38</v>
      </c>
      <c r="I75" s="162">
        <f>'PPD Estimations 09-14'!M70</f>
        <v>44968771</v>
      </c>
      <c r="J75" s="161">
        <f t="shared" si="30"/>
        <v>39888551</v>
      </c>
      <c r="K75" s="163">
        <f>J75/(J75+'PPD Estimations 09-14'!L70)</f>
        <v>8.9734627318420149E-2</v>
      </c>
      <c r="L75" s="164">
        <f t="shared" si="35"/>
        <v>444516818.00000006</v>
      </c>
      <c r="M75" s="163">
        <f t="shared" si="34"/>
        <v>9.3334627318420155E-2</v>
      </c>
      <c r="N75" s="164">
        <f t="shared" si="36"/>
        <v>41488811.544800006</v>
      </c>
      <c r="O75" s="165">
        <f t="shared" si="31"/>
        <v>3479959.4551999941</v>
      </c>
      <c r="P75" s="159">
        <f t="shared" si="32"/>
        <v>343471.99822823942</v>
      </c>
      <c r="Q75" s="169">
        <f t="shared" si="33"/>
        <v>123311.38177176059</v>
      </c>
    </row>
    <row r="76" spans="1:17" x14ac:dyDescent="0.3">
      <c r="A76" s="174">
        <v>2014</v>
      </c>
      <c r="B76" s="356" t="s">
        <v>7</v>
      </c>
      <c r="C76" s="175">
        <v>310149</v>
      </c>
      <c r="D76" s="176">
        <v>0</v>
      </c>
      <c r="E76" s="175">
        <v>4278497</v>
      </c>
      <c r="F76" s="177">
        <v>-422287.66</v>
      </c>
      <c r="G76" s="161">
        <f t="shared" si="29"/>
        <v>4588646</v>
      </c>
      <c r="H76" s="159">
        <v>422287.66</v>
      </c>
      <c r="I76" s="162">
        <f>'PPD Estimations 09-14'!M71</f>
        <v>42442827</v>
      </c>
      <c r="J76" s="161">
        <f t="shared" si="30"/>
        <v>37854181</v>
      </c>
      <c r="K76" s="163">
        <f>J76/(J76+'PPD Estimations 09-14'!L71)</f>
        <v>8.9649404746926786E-2</v>
      </c>
      <c r="L76" s="164">
        <f t="shared" si="35"/>
        <v>422246875</v>
      </c>
      <c r="M76" s="163">
        <f t="shared" si="34"/>
        <v>9.3249404746926792E-2</v>
      </c>
      <c r="N76" s="164">
        <f t="shared" si="36"/>
        <v>39374269.750000007</v>
      </c>
      <c r="O76" s="165">
        <f t="shared" si="31"/>
        <v>3068557.2499999925</v>
      </c>
      <c r="P76" s="159">
        <f t="shared" si="32"/>
        <v>302866.60057499923</v>
      </c>
      <c r="Q76" s="169">
        <f t="shared" si="33"/>
        <v>119421.05942500074</v>
      </c>
    </row>
    <row r="77" spans="1:17" x14ac:dyDescent="0.3">
      <c r="A77" s="174">
        <v>2014</v>
      </c>
      <c r="B77" s="356" t="s">
        <v>8</v>
      </c>
      <c r="C77" s="175">
        <v>337750</v>
      </c>
      <c r="D77" s="176">
        <v>0</v>
      </c>
      <c r="E77" s="175">
        <v>4440944</v>
      </c>
      <c r="F77" s="177">
        <v>-438321.17</v>
      </c>
      <c r="G77" s="161">
        <f t="shared" si="29"/>
        <v>4778694</v>
      </c>
      <c r="H77" s="159">
        <v>438321.17</v>
      </c>
      <c r="I77" s="162">
        <f>'PPD Estimations 09-14'!M72</f>
        <v>43825130</v>
      </c>
      <c r="J77" s="161">
        <f t="shared" si="30"/>
        <v>39046436</v>
      </c>
      <c r="K77" s="163">
        <f>J77/(J77+'PPD Estimations 09-14'!L72)</f>
        <v>8.954700408874311E-2</v>
      </c>
      <c r="L77" s="164">
        <f t="shared" si="35"/>
        <v>436044024</v>
      </c>
      <c r="M77" s="163">
        <f t="shared" si="34"/>
        <v>9.3147004088743116E-2</v>
      </c>
      <c r="N77" s="164">
        <f t="shared" si="36"/>
        <v>40616194.486400001</v>
      </c>
      <c r="O77" s="165">
        <f t="shared" si="31"/>
        <v>3208935.5135999992</v>
      </c>
      <c r="P77" s="159">
        <f t="shared" si="32"/>
        <v>316721.93519231991</v>
      </c>
      <c r="Q77" s="169">
        <f t="shared" si="33"/>
        <v>121599.23480768007</v>
      </c>
    </row>
    <row r="78" spans="1:17" x14ac:dyDescent="0.3">
      <c r="A78" s="174">
        <v>2014</v>
      </c>
      <c r="B78" s="356" t="s">
        <v>259</v>
      </c>
      <c r="C78" s="175">
        <v>341500</v>
      </c>
      <c r="D78" s="176">
        <v>0</v>
      </c>
      <c r="E78" s="175">
        <v>4701527</v>
      </c>
      <c r="F78" s="177">
        <v>-464040.7</v>
      </c>
      <c r="G78" s="161">
        <f t="shared" si="29"/>
        <v>5043027</v>
      </c>
      <c r="H78" s="159">
        <v>464040.7</v>
      </c>
      <c r="I78" s="162">
        <f>'PPD Estimations 09-14'!M73</f>
        <v>45038892</v>
      </c>
      <c r="J78" s="161">
        <f t="shared" si="30"/>
        <v>39995865</v>
      </c>
      <c r="K78" s="163">
        <f>J78/(J78+'PPD Estimations 09-14'!L73)</f>
        <v>8.8946874260719455E-2</v>
      </c>
      <c r="L78" s="164">
        <f t="shared" si="35"/>
        <v>449660152</v>
      </c>
      <c r="M78" s="163">
        <f t="shared" si="34"/>
        <v>9.2546874260719461E-2</v>
      </c>
      <c r="N78" s="164">
        <f t="shared" si="36"/>
        <v>41614641.547200002</v>
      </c>
      <c r="O78" s="165">
        <f t="shared" si="31"/>
        <v>3424250.4527999982</v>
      </c>
      <c r="P78" s="159">
        <f t="shared" si="32"/>
        <v>337973.51969135983</v>
      </c>
      <c r="Q78" s="169">
        <f t="shared" si="33"/>
        <v>126067.18030864018</v>
      </c>
    </row>
    <row r="79" spans="1:17" x14ac:dyDescent="0.3">
      <c r="A79" s="174">
        <v>2014</v>
      </c>
      <c r="B79" s="356" t="s">
        <v>260</v>
      </c>
      <c r="C79" s="175">
        <v>330275</v>
      </c>
      <c r="D79" s="176">
        <v>-32003.67</v>
      </c>
      <c r="E79" s="175">
        <v>4650491</v>
      </c>
      <c r="F79" s="177">
        <v>-459003.46</v>
      </c>
      <c r="G79" s="161">
        <f t="shared" si="29"/>
        <v>4980766</v>
      </c>
      <c r="H79" s="159">
        <v>491007.13</v>
      </c>
      <c r="I79" s="162">
        <f>'PPD Estimations 09-14'!M74</f>
        <v>45207144</v>
      </c>
      <c r="J79" s="161">
        <f t="shared" si="30"/>
        <v>40226378</v>
      </c>
      <c r="K79" s="163">
        <f>J79/(J79+'PPD Estimations 09-14'!L74)</f>
        <v>8.9678446045551086E-2</v>
      </c>
      <c r="L79" s="164">
        <f t="shared" si="35"/>
        <v>448562389</v>
      </c>
      <c r="M79" s="163">
        <f t="shared" si="34"/>
        <v>9.3278446045551092E-2</v>
      </c>
      <c r="N79" s="164">
        <f t="shared" si="36"/>
        <v>41841202.600400001</v>
      </c>
      <c r="O79" s="165">
        <f t="shared" si="31"/>
        <v>3365941.3995999992</v>
      </c>
      <c r="P79" s="159">
        <f t="shared" si="32"/>
        <v>332218.4161405199</v>
      </c>
      <c r="Q79" s="169">
        <f t="shared" si="33"/>
        <v>158788.71385948011</v>
      </c>
    </row>
    <row r="80" spans="1:17" x14ac:dyDescent="0.3">
      <c r="A80" s="174">
        <v>2014</v>
      </c>
      <c r="B80" s="356" t="s">
        <v>261</v>
      </c>
      <c r="C80" s="175">
        <v>382948</v>
      </c>
      <c r="D80" s="176">
        <v>0</v>
      </c>
      <c r="E80" s="175">
        <v>4739775</v>
      </c>
      <c r="F80" s="177">
        <v>-467815.8</v>
      </c>
      <c r="G80" s="161">
        <f t="shared" si="29"/>
        <v>5122723</v>
      </c>
      <c r="H80" s="159">
        <v>467815.8</v>
      </c>
      <c r="I80" s="162">
        <f>'PPD Estimations 09-14'!M75</f>
        <v>48571383</v>
      </c>
      <c r="J80" s="161">
        <f t="shared" si="30"/>
        <v>43448660</v>
      </c>
      <c r="K80" s="163">
        <f>J80/(J80+'PPD Estimations 09-14'!L75)</f>
        <v>9.0680988412851701E-2</v>
      </c>
      <c r="L80" s="164">
        <f t="shared" si="35"/>
        <v>479137477</v>
      </c>
      <c r="M80" s="163">
        <f t="shared" si="34"/>
        <v>9.4280988412851707E-2</v>
      </c>
      <c r="N80" s="164">
        <f t="shared" si="36"/>
        <v>45173554.917199999</v>
      </c>
      <c r="O80" s="165">
        <f t="shared" si="31"/>
        <v>3397828.0828000009</v>
      </c>
      <c r="P80" s="159">
        <f t="shared" si="32"/>
        <v>335365.63177236007</v>
      </c>
      <c r="Q80" s="169">
        <f t="shared" si="33"/>
        <v>132450.16822763992</v>
      </c>
    </row>
    <row r="81" spans="1:18" x14ac:dyDescent="0.3">
      <c r="A81" s="174">
        <v>2014</v>
      </c>
      <c r="B81" s="356" t="s">
        <v>262</v>
      </c>
      <c r="C81" s="175">
        <v>331446</v>
      </c>
      <c r="D81" s="176">
        <v>0</v>
      </c>
      <c r="E81" s="175">
        <v>4339017</v>
      </c>
      <c r="F81" s="177">
        <v>-428260.98</v>
      </c>
      <c r="G81" s="161">
        <f t="shared" si="29"/>
        <v>4670463</v>
      </c>
      <c r="H81" s="159">
        <v>428260.98</v>
      </c>
      <c r="I81" s="162">
        <f>'PPD Estimations 09-14'!M76</f>
        <v>44940081</v>
      </c>
      <c r="J81" s="161">
        <f t="shared" si="30"/>
        <v>40269618</v>
      </c>
      <c r="K81" s="163">
        <f>J81/(J81+'PPD Estimations 09-14'!L76)</f>
        <v>9.1152905276859375E-2</v>
      </c>
      <c r="L81" s="164">
        <f t="shared" si="35"/>
        <v>441780960</v>
      </c>
      <c r="M81" s="163">
        <f t="shared" si="34"/>
        <v>9.4752905276859381E-2</v>
      </c>
      <c r="N81" s="164">
        <f t="shared" si="36"/>
        <v>41860029.456</v>
      </c>
      <c r="O81" s="165">
        <f t="shared" si="31"/>
        <v>3080051.5439999998</v>
      </c>
      <c r="P81" s="159">
        <f t="shared" si="32"/>
        <v>304001.08739279996</v>
      </c>
      <c r="Q81" s="169">
        <f t="shared" si="33"/>
        <v>124259.89260720002</v>
      </c>
    </row>
    <row r="82" spans="1:18" s="134" customFormat="1" ht="12.6" thickBot="1" x14ac:dyDescent="0.35">
      <c r="A82" s="174">
        <v>2014</v>
      </c>
      <c r="B82" s="357" t="s">
        <v>263</v>
      </c>
      <c r="C82" s="175">
        <v>354200</v>
      </c>
      <c r="D82" s="176">
        <v>-70308.710000000006</v>
      </c>
      <c r="E82" s="175">
        <v>4337637</v>
      </c>
      <c r="F82" s="177">
        <v>-428124.76</v>
      </c>
      <c r="G82" s="161">
        <f t="shared" si="29"/>
        <v>4691837</v>
      </c>
      <c r="H82" s="159">
        <v>498433.47000000003</v>
      </c>
      <c r="I82" s="162">
        <f>'PPD Estimations 09-14'!M77</f>
        <v>47036884</v>
      </c>
      <c r="J82" s="161">
        <f t="shared" si="30"/>
        <v>42345047</v>
      </c>
      <c r="K82" s="163">
        <f>J82/(J82+'PPD Estimations 09-14'!L77)</f>
        <v>9.1218257783316034E-2</v>
      </c>
      <c r="L82" s="164">
        <f t="shared" si="35"/>
        <v>464216792</v>
      </c>
      <c r="M82" s="163">
        <f t="shared" si="34"/>
        <v>9.481825778331604E-2</v>
      </c>
      <c r="N82" s="164">
        <f t="shared" si="36"/>
        <v>44016227.451200001</v>
      </c>
      <c r="O82" s="165">
        <f t="shared" si="31"/>
        <v>3020656.5487999991</v>
      </c>
      <c r="P82" s="159">
        <f t="shared" si="32"/>
        <v>298138.80136655987</v>
      </c>
      <c r="Q82" s="169">
        <f t="shared" si="33"/>
        <v>200294.66863344016</v>
      </c>
    </row>
    <row r="83" spans="1:18" ht="13.2" thickTop="1" thickBot="1" x14ac:dyDescent="0.35">
      <c r="A83" s="187">
        <v>2014</v>
      </c>
      <c r="B83" s="188" t="s">
        <v>14</v>
      </c>
      <c r="C83" s="189">
        <f t="shared" ref="C83:F83" si="37">SUM(C71:C82)</f>
        <v>3973983</v>
      </c>
      <c r="D83" s="190">
        <f t="shared" si="37"/>
        <v>-102312.38</v>
      </c>
      <c r="E83" s="189">
        <f t="shared" si="37"/>
        <v>54115936</v>
      </c>
      <c r="F83" s="191">
        <f t="shared" si="37"/>
        <v>-5341242.82</v>
      </c>
      <c r="G83" s="161">
        <f t="shared" si="29"/>
        <v>58089919</v>
      </c>
      <c r="H83" s="160">
        <f>SUM(H71:H82)</f>
        <v>5443555.2000000002</v>
      </c>
      <c r="I83" s="166">
        <f>SUM(I71:I82)</f>
        <v>540480909</v>
      </c>
      <c r="J83" s="167">
        <f>SUM(J71:J82)</f>
        <v>482390990</v>
      </c>
      <c r="K83" s="134"/>
      <c r="L83" s="134"/>
      <c r="M83" s="134"/>
      <c r="N83" s="170">
        <f>SUM(N71:N82)</f>
        <v>501649043.1164</v>
      </c>
      <c r="O83" s="10">
        <f t="shared" si="31"/>
        <v>38831865.883599997</v>
      </c>
      <c r="P83" s="159">
        <f t="shared" si="32"/>
        <v>3832705.1627113195</v>
      </c>
      <c r="Q83" s="195">
        <f>SUM(Q71:Q82)</f>
        <v>1610850.037288683</v>
      </c>
    </row>
    <row r="84" spans="1:18" ht="21.75" customHeight="1" thickTop="1" x14ac:dyDescent="0.3">
      <c r="A84" s="413" t="s">
        <v>100</v>
      </c>
      <c r="B84" s="413"/>
      <c r="C84" s="413"/>
      <c r="D84" s="413"/>
      <c r="E84" s="413"/>
      <c r="G84" s="10" t="s">
        <v>154</v>
      </c>
      <c r="H84" s="159">
        <f>AVERAGE(H18,H31,H44,H57,H70,H83)</f>
        <v>6079931.7633333327</v>
      </c>
      <c r="Q84" s="159">
        <f>AVERAGE(Q18,Q31,Q44,Q57,Q70,Q83)</f>
        <v>1763845.4580050111</v>
      </c>
    </row>
    <row r="85" spans="1:18" x14ac:dyDescent="0.3">
      <c r="A85" s="196" t="s">
        <v>38</v>
      </c>
      <c r="Q85" s="192"/>
      <c r="R85" s="192"/>
    </row>
    <row r="86" spans="1:18" x14ac:dyDescent="0.3">
      <c r="A86" s="406" t="s">
        <v>34</v>
      </c>
      <c r="B86" s="406"/>
      <c r="C86" s="406"/>
      <c r="D86" s="406"/>
      <c r="E86" s="406"/>
      <c r="F86" s="406"/>
      <c r="G86" s="192"/>
      <c r="I86" s="192"/>
      <c r="J86" s="192"/>
      <c r="K86" s="192"/>
      <c r="L86" s="192"/>
      <c r="M86" s="192"/>
      <c r="N86" s="192"/>
      <c r="O86" s="192"/>
      <c r="P86" s="192"/>
    </row>
    <row r="87" spans="1:18" x14ac:dyDescent="0.3">
      <c r="A87" s="406" t="s">
        <v>35</v>
      </c>
      <c r="B87" s="406"/>
      <c r="C87" s="406"/>
      <c r="D87" s="406"/>
      <c r="E87" s="406"/>
      <c r="F87" s="406"/>
      <c r="G87" s="192"/>
      <c r="I87" s="192"/>
      <c r="J87" s="192"/>
      <c r="K87" s="192"/>
      <c r="L87" s="192"/>
      <c r="M87" s="192"/>
      <c r="N87" s="192"/>
    </row>
    <row r="88" spans="1:18" x14ac:dyDescent="0.3">
      <c r="A88" s="193"/>
      <c r="B88" s="193"/>
      <c r="C88" s="193"/>
      <c r="D88" s="193"/>
      <c r="E88" s="193"/>
      <c r="F88" s="193"/>
      <c r="G88" s="192"/>
      <c r="I88" s="192"/>
      <c r="J88" s="192"/>
      <c r="K88" s="192"/>
      <c r="L88" s="192"/>
      <c r="M88" s="192"/>
      <c r="N88" s="192"/>
    </row>
    <row r="89" spans="1:18" s="197" customFormat="1" x14ac:dyDescent="0.3">
      <c r="A89" s="404" t="s">
        <v>101</v>
      </c>
      <c r="B89" s="404"/>
      <c r="C89" s="404"/>
      <c r="D89" s="404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</row>
    <row r="91" spans="1:18" x14ac:dyDescent="0.3">
      <c r="A91" s="134" t="s">
        <v>102</v>
      </c>
    </row>
  </sheetData>
  <sheetProtection algorithmName="SHA-512" hashValue="b2VQQ2TZHFXBciWUhsbpBTYaH+e5Od9XOJn8dE2vggpxqXzmVBLZeAHwHEzDFh/87nTF0fDDpzvNPJnyzwN5XA==" saltValue="oC3wRt1JV2d7Ji6OwxqAqg==" spinCount="100000" sheet="1" objects="1" scenarios="1" selectLockedCells="1" selectUnlockedCells="1"/>
  <mergeCells count="11">
    <mergeCell ref="A89:P89"/>
    <mergeCell ref="A2:M2"/>
    <mergeCell ref="A86:F86"/>
    <mergeCell ref="A87:F87"/>
    <mergeCell ref="C3:F3"/>
    <mergeCell ref="C4:D4"/>
    <mergeCell ref="E4:F4"/>
    <mergeCell ref="A84:E84"/>
    <mergeCell ref="M4:M5"/>
    <mergeCell ref="N4:N5"/>
    <mergeCell ref="O4:O5"/>
  </mergeCells>
  <printOptions gridLines="1"/>
  <pageMargins left="0.25" right="0.25" top="0.75" bottom="0.75" header="0.3" footer="0.3"/>
  <pageSetup paperSize="5" scale="84" fitToHeight="3" pageOrder="overThenDown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4"/>
  <sheetViews>
    <sheetView zoomScale="75" zoomScaleNormal="75" workbookViewId="0">
      <selection activeCell="AV79" sqref="AV79"/>
    </sheetView>
  </sheetViews>
  <sheetFormatPr defaultColWidth="9.109375" defaultRowHeight="18" customHeight="1" x14ac:dyDescent="0.25"/>
  <cols>
    <col min="1" max="1" width="8.6640625" style="4" bestFit="1" customWidth="1"/>
    <col min="2" max="2" width="7.44140625" style="9" customWidth="1"/>
    <col min="3" max="3" width="12.88671875" style="10" bestFit="1" customWidth="1"/>
    <col min="4" max="5" width="11.44140625" style="10" bestFit="1" customWidth="1"/>
    <col min="6" max="10" width="10.44140625" style="10" bestFit="1" customWidth="1"/>
    <col min="11" max="11" width="11.44140625" style="10" bestFit="1" customWidth="1"/>
    <col min="12" max="12" width="13.6640625" style="10" bestFit="1" customWidth="1"/>
    <col min="13" max="14" width="10.44140625" style="10" bestFit="1" customWidth="1"/>
    <col min="15" max="15" width="9.44140625" style="10" bestFit="1" customWidth="1"/>
    <col min="16" max="18" width="11.44140625" style="10" bestFit="1" customWidth="1"/>
    <col min="19" max="19" width="12.6640625" style="10" customWidth="1"/>
    <col min="20" max="20" width="10.88671875" style="10" bestFit="1" customWidth="1"/>
    <col min="21" max="21" width="11.5546875" style="10" customWidth="1"/>
    <col min="22" max="22" width="11" style="133" customWidth="1"/>
    <col min="23" max="23" width="8.88671875" style="133" customWidth="1"/>
    <col min="24" max="24" width="9.5546875" style="133" customWidth="1"/>
    <col min="25" max="25" width="11" style="133" customWidth="1"/>
    <col min="26" max="26" width="9.109375" style="133" customWidth="1"/>
    <col min="27" max="27" width="10.88671875" style="133" customWidth="1"/>
    <col min="28" max="28" width="10.44140625" style="133" customWidth="1"/>
    <col min="29" max="29" width="11.44140625" style="133" customWidth="1"/>
    <col min="30" max="30" width="10" style="133" customWidth="1"/>
    <col min="31" max="31" width="10.44140625" style="133" bestFit="1" customWidth="1"/>
    <col min="32" max="32" width="8.88671875" style="133" bestFit="1" customWidth="1"/>
    <col min="33" max="33" width="11.5546875" style="133" customWidth="1"/>
    <col min="34" max="34" width="11.88671875" style="133" customWidth="1"/>
    <col min="35" max="35" width="14.44140625" style="133" bestFit="1" customWidth="1"/>
    <col min="36" max="36" width="17.109375" style="133" bestFit="1" customWidth="1"/>
    <col min="37" max="37" width="14.33203125" style="133" bestFit="1" customWidth="1"/>
    <col min="38" max="38" width="15.44140625" style="151" bestFit="1" customWidth="1"/>
    <col min="39" max="40" width="15.44140625" style="133" bestFit="1" customWidth="1"/>
    <col min="41" max="41" width="18.109375" style="149" customWidth="1"/>
    <col min="42" max="42" width="13.88671875" style="133" bestFit="1" customWidth="1"/>
    <col min="43" max="43" width="18.5546875" style="133" customWidth="1"/>
    <col min="44" max="44" width="12" style="133" bestFit="1" customWidth="1"/>
    <col min="45" max="45" width="13.88671875" style="133" bestFit="1" customWidth="1"/>
    <col min="46" max="46" width="18.5546875" style="133" bestFit="1" customWidth="1"/>
    <col min="47" max="47" width="15.5546875" style="133" bestFit="1" customWidth="1"/>
    <col min="48" max="48" width="14.88671875" style="133" bestFit="1" customWidth="1"/>
    <col min="49" max="49" width="11" style="133" customWidth="1"/>
    <col min="50" max="50" width="10.5546875" style="133" customWidth="1"/>
    <col min="51" max="51" width="10.44140625" style="133" bestFit="1" customWidth="1"/>
    <col min="52" max="52" width="11.6640625" style="133" bestFit="1" customWidth="1"/>
    <col min="53" max="53" width="14.44140625" style="133" bestFit="1" customWidth="1"/>
    <col min="54" max="54" width="14.88671875" style="133" bestFit="1" customWidth="1"/>
    <col min="55" max="55" width="13.88671875" style="133" customWidth="1"/>
    <col min="56" max="56" width="10.6640625" style="133" customWidth="1"/>
    <col min="57" max="57" width="10.5546875" style="133" customWidth="1"/>
    <col min="58" max="58" width="10.109375" style="133" customWidth="1"/>
    <col min="59" max="59" width="10.88671875" style="133" customWidth="1"/>
    <col min="60" max="61" width="10.5546875" style="133" customWidth="1"/>
    <col min="62" max="62" width="8.88671875" style="133" customWidth="1"/>
    <col min="63" max="63" width="9.33203125" style="133" customWidth="1"/>
    <col min="64" max="64" width="9.6640625" style="133" customWidth="1"/>
    <col min="65" max="65" width="10.6640625" style="133" customWidth="1"/>
    <col min="66" max="16384" width="9.109375" style="10"/>
  </cols>
  <sheetData>
    <row r="1" spans="1:65" ht="18" customHeight="1" x14ac:dyDescent="0.25">
      <c r="A1" s="201" t="s">
        <v>249</v>
      </c>
    </row>
    <row r="2" spans="1:65" ht="25.5" customHeight="1" thickBot="1" x14ac:dyDescent="0.3">
      <c r="A2" s="416" t="s">
        <v>43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132"/>
      <c r="T2" s="132"/>
      <c r="U2" s="132"/>
    </row>
    <row r="3" spans="1:65" s="134" customFormat="1" ht="18" customHeight="1" thickBot="1" x14ac:dyDescent="0.3">
      <c r="C3" s="418" t="s">
        <v>17</v>
      </c>
      <c r="D3" s="419"/>
      <c r="E3" s="420"/>
      <c r="F3" s="424" t="s">
        <v>45</v>
      </c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20"/>
      <c r="S3" s="156"/>
      <c r="T3" s="156"/>
      <c r="U3" s="156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51"/>
      <c r="AM3" s="133"/>
      <c r="AN3" s="133"/>
      <c r="AO3" s="149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</row>
    <row r="4" spans="1:65" s="2" customFormat="1" ht="18" customHeight="1" thickBot="1" x14ac:dyDescent="0.3">
      <c r="A4" s="333"/>
      <c r="B4" s="335"/>
      <c r="C4" s="421"/>
      <c r="D4" s="422"/>
      <c r="E4" s="423"/>
      <c r="F4" s="425" t="s">
        <v>1</v>
      </c>
      <c r="G4" s="426"/>
      <c r="H4" s="426"/>
      <c r="I4" s="426"/>
      <c r="J4" s="426"/>
      <c r="K4" s="426"/>
      <c r="L4" s="135" t="s">
        <v>26</v>
      </c>
      <c r="M4" s="427" t="s">
        <v>15</v>
      </c>
      <c r="N4" s="427"/>
      <c r="O4" s="427"/>
      <c r="P4" s="427"/>
      <c r="Q4" s="427"/>
      <c r="R4" s="427"/>
      <c r="S4" s="429" t="s">
        <v>90</v>
      </c>
      <c r="T4" s="430"/>
      <c r="U4" s="430"/>
      <c r="V4" s="431"/>
      <c r="W4" s="429" t="s">
        <v>148</v>
      </c>
      <c r="X4" s="430"/>
      <c r="Y4" s="430"/>
      <c r="Z4" s="431"/>
      <c r="AA4" s="432" t="s">
        <v>110</v>
      </c>
      <c r="AB4" s="433"/>
      <c r="AC4" s="433"/>
      <c r="AD4" s="433"/>
      <c r="AE4" s="433"/>
      <c r="AF4" s="433"/>
      <c r="AG4" s="433"/>
      <c r="AH4" s="434"/>
      <c r="AI4" s="432" t="s">
        <v>64</v>
      </c>
      <c r="AJ4" s="433"/>
      <c r="AK4" s="433"/>
      <c r="AL4" s="433"/>
      <c r="AM4" s="433"/>
      <c r="AN4" s="434"/>
      <c r="AO4" s="432" t="s">
        <v>66</v>
      </c>
      <c r="AP4" s="433"/>
      <c r="AQ4" s="433"/>
      <c r="AR4" s="433"/>
      <c r="AS4" s="434"/>
      <c r="AT4" s="351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352"/>
      <c r="BH4" s="273"/>
      <c r="BI4" s="273"/>
      <c r="BJ4" s="273"/>
      <c r="BK4" s="273"/>
      <c r="BL4" s="273"/>
      <c r="BM4" s="435" t="s">
        <v>103</v>
      </c>
    </row>
    <row r="5" spans="1:65" s="2" customFormat="1" ht="39" customHeight="1" thickBot="1" x14ac:dyDescent="0.3">
      <c r="A5" s="332" t="s">
        <v>36</v>
      </c>
      <c r="B5" s="334" t="s">
        <v>37</v>
      </c>
      <c r="C5" s="136" t="s">
        <v>18</v>
      </c>
      <c r="D5" s="137" t="s">
        <v>19</v>
      </c>
      <c r="E5" s="138" t="s">
        <v>15</v>
      </c>
      <c r="F5" s="139" t="s">
        <v>20</v>
      </c>
      <c r="G5" s="140" t="s">
        <v>21</v>
      </c>
      <c r="H5" s="140" t="s">
        <v>22</v>
      </c>
      <c r="I5" s="140" t="s">
        <v>23</v>
      </c>
      <c r="J5" s="140" t="s">
        <v>24</v>
      </c>
      <c r="K5" s="157" t="s">
        <v>25</v>
      </c>
      <c r="L5" s="141" t="s">
        <v>20</v>
      </c>
      <c r="M5" s="142" t="s">
        <v>20</v>
      </c>
      <c r="N5" s="140" t="s">
        <v>21</v>
      </c>
      <c r="O5" s="140" t="s">
        <v>22</v>
      </c>
      <c r="P5" s="140" t="s">
        <v>23</v>
      </c>
      <c r="Q5" s="140" t="s">
        <v>24</v>
      </c>
      <c r="R5" s="336" t="s">
        <v>25</v>
      </c>
      <c r="S5" s="338" t="s">
        <v>88</v>
      </c>
      <c r="T5" s="339" t="s">
        <v>89</v>
      </c>
      <c r="U5" s="339" t="s">
        <v>86</v>
      </c>
      <c r="V5" s="340" t="s">
        <v>87</v>
      </c>
      <c r="W5" s="341" t="s">
        <v>91</v>
      </c>
      <c r="X5" s="342" t="s">
        <v>238</v>
      </c>
      <c r="Y5" s="342" t="s">
        <v>92</v>
      </c>
      <c r="Z5" s="340" t="s">
        <v>93</v>
      </c>
      <c r="AA5" s="341" t="s">
        <v>52</v>
      </c>
      <c r="AB5" s="342" t="s">
        <v>53</v>
      </c>
      <c r="AC5" s="342" t="s">
        <v>54</v>
      </c>
      <c r="AD5" s="342" t="s">
        <v>55</v>
      </c>
      <c r="AE5" s="343" t="s">
        <v>57</v>
      </c>
      <c r="AF5" s="344" t="s">
        <v>58</v>
      </c>
      <c r="AG5" s="342" t="s">
        <v>59</v>
      </c>
      <c r="AH5" s="340" t="s">
        <v>56</v>
      </c>
      <c r="AI5" s="345" t="s">
        <v>60</v>
      </c>
      <c r="AJ5" s="344" t="s">
        <v>65</v>
      </c>
      <c r="AK5" s="344" t="s">
        <v>61</v>
      </c>
      <c r="AL5" s="346" t="s">
        <v>62</v>
      </c>
      <c r="AM5" s="344" t="s">
        <v>63</v>
      </c>
      <c r="AN5" s="347" t="s">
        <v>25</v>
      </c>
      <c r="AO5" s="348" t="s">
        <v>107</v>
      </c>
      <c r="AP5" s="349" t="s">
        <v>16</v>
      </c>
      <c r="AQ5" s="349" t="s">
        <v>69</v>
      </c>
      <c r="AR5" s="349" t="s">
        <v>67</v>
      </c>
      <c r="AS5" s="350" t="s">
        <v>68</v>
      </c>
      <c r="AT5" s="353" t="s">
        <v>70</v>
      </c>
      <c r="AU5" s="354" t="s">
        <v>71</v>
      </c>
      <c r="AV5" s="354" t="s">
        <v>72</v>
      </c>
      <c r="AW5" s="355" t="s">
        <v>73</v>
      </c>
      <c r="AX5" s="355" t="s">
        <v>74</v>
      </c>
      <c r="AY5" s="355" t="s">
        <v>75</v>
      </c>
      <c r="AZ5" s="355" t="s">
        <v>76</v>
      </c>
      <c r="BA5" s="354" t="s">
        <v>77</v>
      </c>
      <c r="BB5" s="354" t="s">
        <v>78</v>
      </c>
      <c r="BC5" s="354" t="s">
        <v>79</v>
      </c>
      <c r="BD5" s="367" t="s">
        <v>81</v>
      </c>
      <c r="BE5" s="367" t="s">
        <v>80</v>
      </c>
      <c r="BF5" s="367" t="s">
        <v>82</v>
      </c>
      <c r="BG5" s="355" t="s">
        <v>83</v>
      </c>
      <c r="BH5" s="355" t="s">
        <v>84</v>
      </c>
      <c r="BI5" s="355" t="s">
        <v>85</v>
      </c>
      <c r="BJ5" s="355" t="s">
        <v>104</v>
      </c>
      <c r="BK5" s="355" t="s">
        <v>105</v>
      </c>
      <c r="BL5" s="355" t="s">
        <v>106</v>
      </c>
      <c r="BM5" s="436"/>
    </row>
    <row r="6" spans="1:65" ht="18" customHeight="1" x14ac:dyDescent="0.25">
      <c r="A6" s="11">
        <v>2009</v>
      </c>
      <c r="B6" s="12" t="s">
        <v>255</v>
      </c>
      <c r="C6" s="25">
        <v>3185788199</v>
      </c>
      <c r="D6" s="26">
        <f t="shared" ref="D6:D17" si="0">+K6</f>
        <v>119619174</v>
      </c>
      <c r="E6" s="27">
        <f t="shared" ref="E6:E17" si="1">+R6</f>
        <v>282168688</v>
      </c>
      <c r="F6" s="29">
        <v>10246520</v>
      </c>
      <c r="G6" s="26">
        <v>6986593</v>
      </c>
      <c r="H6" s="28">
        <v>6780026</v>
      </c>
      <c r="I6" s="26">
        <v>53176389</v>
      </c>
      <c r="J6" s="26">
        <v>42429646</v>
      </c>
      <c r="K6" s="30">
        <f t="shared" ref="K6:K17" si="2">SUM(F6:J6)</f>
        <v>119619174</v>
      </c>
      <c r="L6" s="31">
        <v>432900545</v>
      </c>
      <c r="M6" s="32">
        <v>48139543</v>
      </c>
      <c r="N6" s="26">
        <v>10651038</v>
      </c>
      <c r="O6" s="26">
        <v>6177389</v>
      </c>
      <c r="P6" s="26">
        <v>104239600</v>
      </c>
      <c r="Q6" s="26">
        <v>112961118</v>
      </c>
      <c r="R6" s="27">
        <f t="shared" ref="R6:R17" si="3">SUM(M6:Q6)</f>
        <v>282168688</v>
      </c>
      <c r="S6" s="28">
        <f>Q6*'Order 30 Components'!AG6</f>
        <v>39812991.70196683</v>
      </c>
      <c r="T6" s="28">
        <f>Q6-S6</f>
        <v>73148126.298033178</v>
      </c>
      <c r="U6" s="28">
        <f>R6*'Order 30 Components'!AG6</f>
        <v>99449968.562624067</v>
      </c>
      <c r="V6" s="143">
        <f>R6-U6</f>
        <v>182718719.43737593</v>
      </c>
      <c r="W6" s="154">
        <f t="shared" ref="W6:W37" si="4">D6/C6</f>
        <v>3.7547748477926982E-2</v>
      </c>
      <c r="X6" s="154">
        <f t="shared" ref="X6:X37" si="5">R6/C6</f>
        <v>8.8571075782304387E-2</v>
      </c>
      <c r="Y6" s="154">
        <f t="shared" ref="Y6:Y37" si="6">U6/C6</f>
        <v>3.1216754646100082E-2</v>
      </c>
      <c r="Z6" s="154">
        <f t="shared" ref="Z6:Z37" si="7">V6/C6</f>
        <v>5.7354321136204298E-2</v>
      </c>
      <c r="AA6" s="144">
        <v>11.24</v>
      </c>
      <c r="AB6" s="144">
        <v>1.3983000000000001</v>
      </c>
      <c r="AC6" s="144">
        <v>0.74890000000000001</v>
      </c>
      <c r="AD6" s="144">
        <v>1.1153999999999999</v>
      </c>
      <c r="AE6" s="144">
        <v>1.1084000000000001</v>
      </c>
      <c r="AF6" s="144">
        <v>2.3637999999999999</v>
      </c>
      <c r="AG6" s="144">
        <v>-3.04E-2</v>
      </c>
      <c r="AH6" s="144">
        <v>0.65739999999999998</v>
      </c>
      <c r="AI6" s="145">
        <f t="shared" ref="AI6:AI37" si="8">((L6+M6)*(AA6/100))+(F6*AB6)</f>
        <v>68396614.8072</v>
      </c>
      <c r="AJ6" s="145">
        <f t="shared" ref="AJ6:AJ37" si="9">((F6+L6+M6)/100)*1.97</f>
        <v>9678346.1776000001</v>
      </c>
      <c r="AK6" s="145">
        <f t="shared" ref="AK6:AK37" si="10">(G6+H6)*AD6+(N6+O6)*AC6</f>
        <v>27958095.812899999</v>
      </c>
      <c r="AL6" s="152">
        <f t="shared" ref="AL6:AL37" si="11">S6*AF6+T6*AG6+J6*AE6</f>
        <v>138915266.37204897</v>
      </c>
      <c r="AM6" s="145">
        <f t="shared" ref="AM6:AM37" si="12">I6*AE6+P6*AH6</f>
        <v>127467822.6076</v>
      </c>
      <c r="AN6" s="145">
        <f t="shared" ref="AN6:AN37" si="13">SUM(AI6:AM6)</f>
        <v>372416145.777349</v>
      </c>
      <c r="AO6" s="169">
        <v>3281097.18</v>
      </c>
      <c r="AP6" s="159">
        <v>587545.51</v>
      </c>
      <c r="AQ6" s="149">
        <v>11860069.48</v>
      </c>
      <c r="AR6" s="149">
        <v>750000</v>
      </c>
      <c r="AS6" s="145">
        <f>SUM(AO6:AR6)</f>
        <v>16478712.170000002</v>
      </c>
      <c r="AT6" s="145">
        <f t="shared" ref="AT6:AT37" si="14">AN6-AS6</f>
        <v>355937433.60734898</v>
      </c>
      <c r="AU6" s="145">
        <f t="shared" ref="AU6:AU37" si="15">(K6*AE6)+(U6*AF6)+(V6*AG6)</f>
        <v>362111079.07903457</v>
      </c>
      <c r="AV6" s="145">
        <f>AT6-AU6</f>
        <v>-6173645.4716855884</v>
      </c>
      <c r="AW6" s="149">
        <f t="shared" ref="AW6:AW37" si="16">AV6/(C6/100)</f>
        <v>-0.1937870657447805</v>
      </c>
      <c r="AX6" s="133">
        <v>0.38</v>
      </c>
      <c r="AY6" s="150">
        <v>0.6</v>
      </c>
      <c r="AZ6" s="133">
        <v>0.02</v>
      </c>
      <c r="BA6" s="145">
        <f t="shared" ref="BA6:BA37" si="17">AV6*AX6</f>
        <v>-2345985.2792405235</v>
      </c>
      <c r="BB6" s="145">
        <f t="shared" ref="BB6:BB37" si="18">AV6*AY6</f>
        <v>-3704187.2830113531</v>
      </c>
      <c r="BC6" s="145">
        <f t="shared" ref="BC6:BC37" si="19">AV6*AZ6</f>
        <v>-123472.90943371177</v>
      </c>
      <c r="BD6" s="145">
        <f t="shared" ref="BD6:BD37" si="20">BA6/K6</f>
        <v>-1.9612117362058725E-2</v>
      </c>
      <c r="BE6" s="145">
        <f t="shared" ref="BE6:BE37" si="21">BB6/U6</f>
        <v>-3.7246741618412987E-2</v>
      </c>
      <c r="BF6" s="145">
        <f t="shared" ref="BF6:BF37" si="22">BC6/V6</f>
        <v>-6.757540213389589E-4</v>
      </c>
      <c r="BG6" s="145">
        <f t="shared" ref="BG6:BG37" si="23">AE6+BD6</f>
        <v>1.0887878826379414</v>
      </c>
      <c r="BH6" s="145">
        <f t="shared" ref="BH6:BH37" si="24">AF6+BE6</f>
        <v>2.3265532583815869</v>
      </c>
      <c r="BI6" s="145">
        <f t="shared" ref="BI6:BI37" si="25">AG6+BF6</f>
        <v>-3.1075754021338959E-2</v>
      </c>
      <c r="BJ6" s="154">
        <f t="shared" ref="BJ6:BJ37" si="26">W6+(2*0.0029)</f>
        <v>4.3347748477926981E-2</v>
      </c>
      <c r="BK6" s="154">
        <f t="shared" ref="BK6:BK37" si="27">Y6+(2*0.0016)</f>
        <v>3.4416754646100084E-2</v>
      </c>
      <c r="BL6" s="154">
        <f t="shared" ref="BL6:BL37" si="28">Z6+(2*0.0009)</f>
        <v>5.9154321136204301E-2</v>
      </c>
      <c r="BM6" s="145">
        <f t="shared" ref="BM6:BM37" si="29">(BJ6*BD6+BK6*BE6+BL6*BF6)*100</f>
        <v>-0.2172026868565077</v>
      </c>
    </row>
    <row r="7" spans="1:65" ht="18" customHeight="1" x14ac:dyDescent="0.25">
      <c r="A7" s="11">
        <v>2009</v>
      </c>
      <c r="B7" s="12" t="s">
        <v>256</v>
      </c>
      <c r="C7" s="25">
        <v>2896116750</v>
      </c>
      <c r="D7" s="26">
        <f t="shared" si="0"/>
        <v>107127261</v>
      </c>
      <c r="E7" s="27">
        <f t="shared" si="1"/>
        <v>255578886</v>
      </c>
      <c r="F7" s="29">
        <v>9334174</v>
      </c>
      <c r="G7" s="26">
        <v>6486028</v>
      </c>
      <c r="H7" s="28">
        <v>7022933</v>
      </c>
      <c r="I7" s="26">
        <v>45444099</v>
      </c>
      <c r="J7" s="26">
        <v>38840027</v>
      </c>
      <c r="K7" s="30">
        <f t="shared" si="2"/>
        <v>107127261</v>
      </c>
      <c r="L7" s="31">
        <v>403173867</v>
      </c>
      <c r="M7" s="32">
        <v>44785902</v>
      </c>
      <c r="N7" s="26">
        <v>10687994</v>
      </c>
      <c r="O7" s="26">
        <v>6455814</v>
      </c>
      <c r="P7" s="26">
        <v>88014432</v>
      </c>
      <c r="Q7" s="26">
        <v>105634744</v>
      </c>
      <c r="R7" s="27">
        <f t="shared" si="3"/>
        <v>255578886</v>
      </c>
      <c r="S7" s="28">
        <f>Q7*'Order 30 Components'!AG7</f>
        <v>37094356.826025926</v>
      </c>
      <c r="T7" s="28">
        <f t="shared" ref="T7:T65" si="30">Q7-S7</f>
        <v>68540387.173974067</v>
      </c>
      <c r="U7" s="28">
        <f>R7*'Order 30 Components'!AG7</f>
        <v>89748259.289407685</v>
      </c>
      <c r="V7" s="143">
        <f t="shared" ref="V7:V65" si="31">R7-U7</f>
        <v>165830626.71059233</v>
      </c>
      <c r="W7" s="154">
        <f t="shared" si="4"/>
        <v>3.6989966305743714E-2</v>
      </c>
      <c r="X7" s="154">
        <f t="shared" si="5"/>
        <v>8.8248820079508183E-2</v>
      </c>
      <c r="Y7" s="154">
        <f t="shared" si="6"/>
        <v>3.0989171720859555E-2</v>
      </c>
      <c r="Z7" s="154">
        <f t="shared" si="7"/>
        <v>5.7259648358648642E-2</v>
      </c>
      <c r="AA7" s="144">
        <v>7.07</v>
      </c>
      <c r="AB7" s="144">
        <v>1.1140000000000001</v>
      </c>
      <c r="AC7" s="144">
        <v>0.73670000000000002</v>
      </c>
      <c r="AD7" s="144">
        <v>1.1011</v>
      </c>
      <c r="AE7" s="144">
        <v>1.0941000000000001</v>
      </c>
      <c r="AF7" s="144">
        <v>1.9138999999999999</v>
      </c>
      <c r="AG7" s="144">
        <v>-4.3700000000000003E-2</v>
      </c>
      <c r="AH7" s="144">
        <v>0.6472</v>
      </c>
      <c r="AI7" s="145">
        <f t="shared" si="8"/>
        <v>42069025.504299998</v>
      </c>
      <c r="AJ7" s="145">
        <f t="shared" si="9"/>
        <v>9008690.677099999</v>
      </c>
      <c r="AK7" s="145">
        <f t="shared" si="10"/>
        <v>27504560.310699999</v>
      </c>
      <c r="AL7" s="152">
        <f t="shared" si="11"/>
        <v>110494548.15052836</v>
      </c>
      <c r="AM7" s="145">
        <f t="shared" si="12"/>
        <v>106683329.1063</v>
      </c>
      <c r="AN7" s="145">
        <f t="shared" si="13"/>
        <v>295760153.74892837</v>
      </c>
      <c r="AO7" s="169">
        <v>3026600.7099999995</v>
      </c>
      <c r="AP7" s="159">
        <v>501181</v>
      </c>
      <c r="AQ7" s="149">
        <v>10715190.889999999</v>
      </c>
      <c r="AR7" s="149">
        <v>750000</v>
      </c>
      <c r="AS7" s="145">
        <f t="shared" ref="AS7:AS65" si="32">SUM(AO7:AR7)</f>
        <v>14992972.599999998</v>
      </c>
      <c r="AT7" s="145">
        <f t="shared" si="14"/>
        <v>280767181.14892834</v>
      </c>
      <c r="AU7" s="145">
        <f t="shared" si="15"/>
        <v>281730331.32684451</v>
      </c>
      <c r="AV7" s="145">
        <f t="shared" ref="AV7:AV65" si="33">AT7-AU7</f>
        <v>-963150.17791616917</v>
      </c>
      <c r="AW7" s="149">
        <f t="shared" si="16"/>
        <v>-3.3256607418059692E-2</v>
      </c>
      <c r="AX7" s="133">
        <v>0.38</v>
      </c>
      <c r="AY7" s="150">
        <v>0.6</v>
      </c>
      <c r="AZ7" s="133">
        <v>0.02</v>
      </c>
      <c r="BA7" s="145">
        <f t="shared" si="17"/>
        <v>-365997.06760814431</v>
      </c>
      <c r="BB7" s="145">
        <f t="shared" si="18"/>
        <v>-577890.10674970143</v>
      </c>
      <c r="BC7" s="145">
        <f t="shared" si="19"/>
        <v>-19263.003558323384</v>
      </c>
      <c r="BD7" s="145">
        <f t="shared" si="20"/>
        <v>-3.4164699460405724E-3</v>
      </c>
      <c r="BE7" s="145">
        <f t="shared" si="21"/>
        <v>-6.4390118685890268E-3</v>
      </c>
      <c r="BF7" s="145">
        <f t="shared" si="22"/>
        <v>-1.1616071132590715E-4</v>
      </c>
      <c r="BG7" s="145">
        <f t="shared" si="23"/>
        <v>1.0906835300539595</v>
      </c>
      <c r="BH7" s="145">
        <f t="shared" si="24"/>
        <v>1.9074609881314109</v>
      </c>
      <c r="BI7" s="145">
        <f t="shared" si="25"/>
        <v>-4.3816160711325908E-2</v>
      </c>
      <c r="BJ7" s="154">
        <f t="shared" si="26"/>
        <v>4.2789966305743714E-2</v>
      </c>
      <c r="BK7" s="154">
        <f t="shared" si="27"/>
        <v>3.4189171720859557E-2</v>
      </c>
      <c r="BL7" s="154">
        <f t="shared" si="28"/>
        <v>5.9059648358648645E-2</v>
      </c>
      <c r="BM7" s="145">
        <f t="shared" si="29"/>
        <v>-3.7319552712750378E-2</v>
      </c>
    </row>
    <row r="8" spans="1:65" ht="18" customHeight="1" x14ac:dyDescent="0.25">
      <c r="A8" s="11">
        <v>2009</v>
      </c>
      <c r="B8" s="12" t="s">
        <v>257</v>
      </c>
      <c r="C8" s="25">
        <v>3232973051</v>
      </c>
      <c r="D8" s="26">
        <f t="shared" si="0"/>
        <v>117869646</v>
      </c>
      <c r="E8" s="27">
        <f t="shared" si="1"/>
        <v>284821919</v>
      </c>
      <c r="F8" s="29">
        <v>10377143</v>
      </c>
      <c r="G8" s="26">
        <v>7669149</v>
      </c>
      <c r="H8" s="28">
        <v>7653568</v>
      </c>
      <c r="I8" s="26">
        <v>48716586</v>
      </c>
      <c r="J8" s="26">
        <v>43453200</v>
      </c>
      <c r="K8" s="30">
        <f t="shared" si="2"/>
        <v>117869646</v>
      </c>
      <c r="L8" s="31">
        <v>439689049</v>
      </c>
      <c r="M8" s="32">
        <v>48816390</v>
      </c>
      <c r="N8" s="26">
        <v>12127703</v>
      </c>
      <c r="O8" s="26">
        <v>8702586</v>
      </c>
      <c r="P8" s="26">
        <v>97268803</v>
      </c>
      <c r="Q8" s="26">
        <v>117906437</v>
      </c>
      <c r="R8" s="27">
        <f t="shared" si="3"/>
        <v>284821919</v>
      </c>
      <c r="S8" s="28">
        <f>Q8*'Order 30 Components'!AG8</f>
        <v>41222362.428690366</v>
      </c>
      <c r="T8" s="28">
        <f t="shared" si="30"/>
        <v>76684074.571309626</v>
      </c>
      <c r="U8" s="28">
        <f>R8*'Order 30 Components'!AG8</f>
        <v>99579231.39220202</v>
      </c>
      <c r="V8" s="143">
        <f t="shared" si="31"/>
        <v>185242687.60779798</v>
      </c>
      <c r="W8" s="154">
        <f t="shared" si="4"/>
        <v>3.6458592181441603E-2</v>
      </c>
      <c r="X8" s="154">
        <f t="shared" si="5"/>
        <v>8.809906996035767E-2</v>
      </c>
      <c r="Y8" s="154">
        <f t="shared" si="6"/>
        <v>3.080113252456617E-2</v>
      </c>
      <c r="Z8" s="154">
        <f t="shared" si="7"/>
        <v>5.7297937435791507E-2</v>
      </c>
      <c r="AA8" s="144">
        <v>5.81</v>
      </c>
      <c r="AB8" s="144">
        <v>1.0918000000000001</v>
      </c>
      <c r="AC8" s="144">
        <v>0.72330000000000005</v>
      </c>
      <c r="AD8" s="144">
        <v>1.1664000000000001</v>
      </c>
      <c r="AE8" s="144">
        <v>1.1594</v>
      </c>
      <c r="AF8" s="144">
        <v>2.1972999999999998</v>
      </c>
      <c r="AG8" s="144">
        <v>-3.39E-2</v>
      </c>
      <c r="AH8" s="144">
        <v>0.64229999999999998</v>
      </c>
      <c r="AI8" s="145">
        <f t="shared" si="8"/>
        <v>39711930.7333</v>
      </c>
      <c r="AJ8" s="145">
        <f t="shared" si="9"/>
        <v>9827986.8653999995</v>
      </c>
      <c r="AK8" s="145">
        <f t="shared" si="10"/>
        <v>32938965.142500002</v>
      </c>
      <c r="AL8" s="152">
        <f t="shared" si="11"/>
        <v>138357946.91659391</v>
      </c>
      <c r="AM8" s="145">
        <f t="shared" si="12"/>
        <v>118957761.9753</v>
      </c>
      <c r="AN8" s="145">
        <f t="shared" si="13"/>
        <v>339794591.63309389</v>
      </c>
      <c r="AO8" s="169">
        <v>3353462.97</v>
      </c>
      <c r="AP8" s="159">
        <v>557144.78</v>
      </c>
      <c r="AQ8" s="149">
        <v>11865969.02</v>
      </c>
      <c r="AR8" s="149">
        <v>750000</v>
      </c>
      <c r="AS8" s="145">
        <f t="shared" si="32"/>
        <v>16526576.77</v>
      </c>
      <c r="AT8" s="145">
        <f t="shared" si="14"/>
        <v>323268014.86309391</v>
      </c>
      <c r="AU8" s="145">
        <f t="shared" si="15"/>
        <v>349183785.60058111</v>
      </c>
      <c r="AV8" s="145">
        <f t="shared" si="33"/>
        <v>-25915770.737487197</v>
      </c>
      <c r="AW8" s="149">
        <f t="shared" si="16"/>
        <v>-0.80160800379920005</v>
      </c>
      <c r="AX8" s="133">
        <v>0.38</v>
      </c>
      <c r="AY8" s="150">
        <v>0.6</v>
      </c>
      <c r="AZ8" s="133">
        <v>0.02</v>
      </c>
      <c r="BA8" s="145">
        <f t="shared" si="17"/>
        <v>-9847992.8802451342</v>
      </c>
      <c r="BB8" s="145">
        <f t="shared" si="18"/>
        <v>-15549462.442492317</v>
      </c>
      <c r="BC8" s="145">
        <f t="shared" si="19"/>
        <v>-518315.41474974394</v>
      </c>
      <c r="BD8" s="145">
        <f t="shared" si="20"/>
        <v>-8.35498638915496E-2</v>
      </c>
      <c r="BE8" s="145">
        <f t="shared" si="21"/>
        <v>-0.15615166159748031</v>
      </c>
      <c r="BF8" s="145">
        <f t="shared" si="22"/>
        <v>-2.7980344133590779E-3</v>
      </c>
      <c r="BG8" s="145">
        <f t="shared" si="23"/>
        <v>1.0758501361084505</v>
      </c>
      <c r="BH8" s="145">
        <f t="shared" si="24"/>
        <v>2.0411483384025195</v>
      </c>
      <c r="BI8" s="145">
        <f t="shared" si="25"/>
        <v>-3.6698034413359081E-2</v>
      </c>
      <c r="BJ8" s="154">
        <f t="shared" si="26"/>
        <v>4.2258592181441602E-2</v>
      </c>
      <c r="BK8" s="154">
        <f t="shared" si="27"/>
        <v>3.4001132524566172E-2</v>
      </c>
      <c r="BL8" s="154">
        <f t="shared" si="28"/>
        <v>5.909793743579151E-2</v>
      </c>
      <c r="BM8" s="145">
        <f t="shared" si="29"/>
        <v>-0.9005391027618973</v>
      </c>
    </row>
    <row r="9" spans="1:65" ht="18" customHeight="1" x14ac:dyDescent="0.25">
      <c r="A9" s="11">
        <v>2009</v>
      </c>
      <c r="B9" s="12" t="s">
        <v>258</v>
      </c>
      <c r="C9" s="25">
        <v>3165271579</v>
      </c>
      <c r="D9" s="26">
        <f t="shared" si="0"/>
        <v>114008605</v>
      </c>
      <c r="E9" s="27">
        <f t="shared" si="1"/>
        <v>278853548</v>
      </c>
      <c r="F9" s="29">
        <v>10192066</v>
      </c>
      <c r="G9" s="26">
        <v>8066627</v>
      </c>
      <c r="H9" s="28">
        <v>8312374</v>
      </c>
      <c r="I9" s="26">
        <v>45290047</v>
      </c>
      <c r="J9" s="26">
        <v>42147491</v>
      </c>
      <c r="K9" s="30">
        <f t="shared" si="2"/>
        <v>114008605</v>
      </c>
      <c r="L9" s="31">
        <v>425544989</v>
      </c>
      <c r="M9" s="32">
        <v>47087691</v>
      </c>
      <c r="N9" s="26">
        <v>11401037</v>
      </c>
      <c r="O9" s="26">
        <v>9714329</v>
      </c>
      <c r="P9" s="26">
        <v>95489074</v>
      </c>
      <c r="Q9" s="26">
        <v>115161417</v>
      </c>
      <c r="R9" s="27">
        <f t="shared" si="3"/>
        <v>278853548</v>
      </c>
      <c r="S9" s="28">
        <f>Q9*'Order 30 Components'!AG9</f>
        <v>40020773.23033949</v>
      </c>
      <c r="T9" s="28">
        <f t="shared" si="30"/>
        <v>75140643.769660503</v>
      </c>
      <c r="U9" s="28">
        <f>R9*'Order 30 Components'!AG9</f>
        <v>96906888.606481701</v>
      </c>
      <c r="V9" s="143">
        <f t="shared" si="31"/>
        <v>181946659.3935183</v>
      </c>
      <c r="W9" s="154">
        <f t="shared" si="4"/>
        <v>3.6018585500337569E-2</v>
      </c>
      <c r="X9" s="154">
        <f t="shared" si="5"/>
        <v>8.8097827007974402E-2</v>
      </c>
      <c r="Y9" s="154">
        <f t="shared" si="6"/>
        <v>3.0615663202301701E-2</v>
      </c>
      <c r="Z9" s="154">
        <f t="shared" si="7"/>
        <v>5.7482163805672705E-2</v>
      </c>
      <c r="AA9" s="144">
        <v>6.56</v>
      </c>
      <c r="AB9" s="144">
        <v>1.1499999999999999</v>
      </c>
      <c r="AC9" s="144">
        <v>0.71889999999999998</v>
      </c>
      <c r="AD9" s="144">
        <v>1.2119</v>
      </c>
      <c r="AE9" s="144">
        <v>1.2049000000000001</v>
      </c>
      <c r="AF9" s="144">
        <v>2.2008999999999999</v>
      </c>
      <c r="AG9" s="144">
        <v>-4.3E-3</v>
      </c>
      <c r="AH9" s="144">
        <v>0.6452</v>
      </c>
      <c r="AI9" s="145">
        <f t="shared" si="8"/>
        <v>42725579.707999989</v>
      </c>
      <c r="AJ9" s="145">
        <f t="shared" si="9"/>
        <v>9511647.496199999</v>
      </c>
      <c r="AK9" s="145">
        <f t="shared" si="10"/>
        <v>35029547.929300003</v>
      </c>
      <c r="AL9" s="152">
        <f t="shared" si="11"/>
        <v>138542126.94034463</v>
      </c>
      <c r="AM9" s="145">
        <f t="shared" si="12"/>
        <v>116179528.1751</v>
      </c>
      <c r="AN9" s="145">
        <f t="shared" si="13"/>
        <v>341988430.24894464</v>
      </c>
      <c r="AO9" s="169">
        <v>3097154.12</v>
      </c>
      <c r="AP9" s="159">
        <v>528115.30000000005</v>
      </c>
      <c r="AQ9" s="149">
        <v>11479024.790000001</v>
      </c>
      <c r="AR9" s="149">
        <v>750000</v>
      </c>
      <c r="AS9" s="145">
        <f t="shared" si="32"/>
        <v>15854294.210000001</v>
      </c>
      <c r="AT9" s="145">
        <f t="shared" si="14"/>
        <v>326134136.03894466</v>
      </c>
      <c r="AU9" s="145">
        <f t="shared" si="15"/>
        <v>349868968.66311342</v>
      </c>
      <c r="AV9" s="145">
        <f t="shared" si="33"/>
        <v>-23734832.624168754</v>
      </c>
      <c r="AW9" s="149">
        <f t="shared" si="16"/>
        <v>-0.74985138026188791</v>
      </c>
      <c r="AX9" s="133">
        <v>0.38</v>
      </c>
      <c r="AY9" s="150">
        <v>0.6</v>
      </c>
      <c r="AZ9" s="133">
        <v>0.02</v>
      </c>
      <c r="BA9" s="145">
        <f t="shared" si="17"/>
        <v>-9019236.3971841261</v>
      </c>
      <c r="BB9" s="145">
        <f t="shared" si="18"/>
        <v>-14240899.574501252</v>
      </c>
      <c r="BC9" s="145">
        <f t="shared" si="19"/>
        <v>-474696.6524833751</v>
      </c>
      <c r="BD9" s="145">
        <f t="shared" si="20"/>
        <v>-7.9110137319758675E-2</v>
      </c>
      <c r="BE9" s="145">
        <f t="shared" si="21"/>
        <v>-0.1469544609189809</v>
      </c>
      <c r="BF9" s="145">
        <f t="shared" si="22"/>
        <v>-2.6089880081650225E-3</v>
      </c>
      <c r="BG9" s="145">
        <f t="shared" si="23"/>
        <v>1.1257898626802414</v>
      </c>
      <c r="BH9" s="145">
        <f t="shared" si="24"/>
        <v>2.0539455390810191</v>
      </c>
      <c r="BI9" s="145">
        <f t="shared" si="25"/>
        <v>-6.9089880081650221E-3</v>
      </c>
      <c r="BJ9" s="154">
        <f t="shared" si="26"/>
        <v>4.1818585500337568E-2</v>
      </c>
      <c r="BK9" s="154">
        <f t="shared" si="27"/>
        <v>3.3815663202301699E-2</v>
      </c>
      <c r="BL9" s="154">
        <f t="shared" si="28"/>
        <v>5.9282163805672708E-2</v>
      </c>
      <c r="BM9" s="145">
        <f t="shared" si="29"/>
        <v>-0.84323030524289144</v>
      </c>
    </row>
    <row r="10" spans="1:65" ht="18" customHeight="1" x14ac:dyDescent="0.25">
      <c r="A10" s="11">
        <v>2009</v>
      </c>
      <c r="B10" s="12" t="s">
        <v>6</v>
      </c>
      <c r="C10" s="25">
        <v>3240437458</v>
      </c>
      <c r="D10" s="26">
        <f t="shared" si="0"/>
        <v>114555356</v>
      </c>
      <c r="E10" s="27">
        <f t="shared" si="1"/>
        <v>284354331</v>
      </c>
      <c r="F10" s="29">
        <v>10000632</v>
      </c>
      <c r="G10" s="26">
        <v>7910586</v>
      </c>
      <c r="H10" s="28">
        <v>9480951</v>
      </c>
      <c r="I10" s="26">
        <v>44889356</v>
      </c>
      <c r="J10" s="26">
        <v>42273831</v>
      </c>
      <c r="K10" s="30">
        <f t="shared" si="2"/>
        <v>114555356</v>
      </c>
      <c r="L10" s="31">
        <v>424484883</v>
      </c>
      <c r="M10" s="32">
        <v>47014319</v>
      </c>
      <c r="N10" s="26">
        <v>11771769</v>
      </c>
      <c r="O10" s="26">
        <v>9073998</v>
      </c>
      <c r="P10" s="26">
        <v>101678342</v>
      </c>
      <c r="Q10" s="26">
        <v>114815903</v>
      </c>
      <c r="R10" s="27">
        <f t="shared" si="3"/>
        <v>284354331</v>
      </c>
      <c r="S10" s="28">
        <f>Q10*'Order 30 Components'!AG10</f>
        <v>39650761.312256537</v>
      </c>
      <c r="T10" s="28">
        <f t="shared" si="30"/>
        <v>75165141.687743455</v>
      </c>
      <c r="U10" s="28">
        <f>R10*'Order 30 Components'!AG10</f>
        <v>98199512.541284367</v>
      </c>
      <c r="V10" s="143">
        <f t="shared" si="31"/>
        <v>186154818.45871562</v>
      </c>
      <c r="W10" s="154">
        <f t="shared" si="4"/>
        <v>3.5351818229722491E-2</v>
      </c>
      <c r="X10" s="154">
        <f t="shared" si="5"/>
        <v>8.7751834338905488E-2</v>
      </c>
      <c r="Y10" s="154">
        <f t="shared" si="6"/>
        <v>3.0304399888616634E-2</v>
      </c>
      <c r="Z10" s="154">
        <f t="shared" si="7"/>
        <v>5.7447434450288846E-2</v>
      </c>
      <c r="AA10" s="144">
        <v>7.01</v>
      </c>
      <c r="AB10" s="144">
        <v>1.2019</v>
      </c>
      <c r="AC10" s="144">
        <v>0.72109999999999996</v>
      </c>
      <c r="AD10" s="144">
        <v>1.2718</v>
      </c>
      <c r="AE10" s="144">
        <v>1.2647999999999999</v>
      </c>
      <c r="AF10" s="144">
        <v>1.7454000000000001</v>
      </c>
      <c r="AG10" s="144">
        <v>3.3599999999999998E-2</v>
      </c>
      <c r="AH10" s="144">
        <v>0.65739999999999998</v>
      </c>
      <c r="AI10" s="145">
        <f t="shared" si="8"/>
        <v>45071853.660999998</v>
      </c>
      <c r="AJ10" s="145">
        <f t="shared" si="9"/>
        <v>9485546.7297999989</v>
      </c>
      <c r="AK10" s="145">
        <f t="shared" si="10"/>
        <v>37150439.340300001</v>
      </c>
      <c r="AL10" s="152">
        <f t="shared" si="11"/>
        <v>125199929.00392075</v>
      </c>
      <c r="AM10" s="145">
        <f t="shared" si="12"/>
        <v>123619399.49959999</v>
      </c>
      <c r="AN10" s="145">
        <f t="shared" si="13"/>
        <v>340527168.23462075</v>
      </c>
      <c r="AO10" s="169">
        <v>3249438.44</v>
      </c>
      <c r="AP10" s="159">
        <v>581283.1399999999</v>
      </c>
      <c r="AQ10" s="149">
        <v>11864298.379999999</v>
      </c>
      <c r="AR10" s="149">
        <v>750000</v>
      </c>
      <c r="AS10" s="145">
        <f t="shared" si="32"/>
        <v>16445019.959999999</v>
      </c>
      <c r="AT10" s="145">
        <f t="shared" si="14"/>
        <v>324082148.27462077</v>
      </c>
      <c r="AU10" s="145">
        <f t="shared" si="15"/>
        <v>322541845.35857052</v>
      </c>
      <c r="AV10" s="145">
        <f t="shared" si="33"/>
        <v>1540302.9160502553</v>
      </c>
      <c r="AW10" s="149">
        <f t="shared" si="16"/>
        <v>4.7533795545029012E-2</v>
      </c>
      <c r="AX10" s="133">
        <v>0.38</v>
      </c>
      <c r="AY10" s="150">
        <v>0.6</v>
      </c>
      <c r="AZ10" s="133">
        <v>0.02</v>
      </c>
      <c r="BA10" s="145">
        <f t="shared" si="17"/>
        <v>585315.10809909704</v>
      </c>
      <c r="BB10" s="145">
        <f t="shared" si="18"/>
        <v>924181.74963015318</v>
      </c>
      <c r="BC10" s="145">
        <f t="shared" si="19"/>
        <v>30806.058321005108</v>
      </c>
      <c r="BD10" s="145">
        <f t="shared" si="20"/>
        <v>5.109452133334534E-3</v>
      </c>
      <c r="BE10" s="145">
        <f t="shared" si="21"/>
        <v>9.4112661632776949E-3</v>
      </c>
      <c r="BF10" s="145">
        <f t="shared" si="22"/>
        <v>1.6548622579886163E-4</v>
      </c>
      <c r="BG10" s="145">
        <f t="shared" si="23"/>
        <v>1.2699094521333345</v>
      </c>
      <c r="BH10" s="145">
        <f t="shared" si="24"/>
        <v>1.7548112661632778</v>
      </c>
      <c r="BI10" s="145">
        <f t="shared" si="25"/>
        <v>3.3765486225798856E-2</v>
      </c>
      <c r="BJ10" s="154">
        <f t="shared" si="26"/>
        <v>4.1151818229722491E-2</v>
      </c>
      <c r="BK10" s="154">
        <f t="shared" si="27"/>
        <v>3.3504399888616636E-2</v>
      </c>
      <c r="BL10" s="154">
        <f t="shared" si="28"/>
        <v>5.9247434450288849E-2</v>
      </c>
      <c r="BM10" s="145">
        <f t="shared" si="29"/>
        <v>5.3538670475255706E-2</v>
      </c>
    </row>
    <row r="11" spans="1:65" ht="18" customHeight="1" x14ac:dyDescent="0.25">
      <c r="A11" s="11">
        <v>2009</v>
      </c>
      <c r="B11" s="12" t="s">
        <v>7</v>
      </c>
      <c r="C11" s="25">
        <v>3023658215</v>
      </c>
      <c r="D11" s="26">
        <f t="shared" si="0"/>
        <v>106490264</v>
      </c>
      <c r="E11" s="27">
        <f t="shared" si="1"/>
        <v>264772717</v>
      </c>
      <c r="F11" s="29">
        <v>10004882</v>
      </c>
      <c r="G11" s="26">
        <v>8460576</v>
      </c>
      <c r="H11" s="28">
        <v>9107276</v>
      </c>
      <c r="I11" s="26">
        <v>39372512</v>
      </c>
      <c r="J11" s="26">
        <v>39545018</v>
      </c>
      <c r="K11" s="30">
        <f t="shared" si="2"/>
        <v>106490264</v>
      </c>
      <c r="L11" s="31">
        <v>408548807</v>
      </c>
      <c r="M11" s="32">
        <v>45205965</v>
      </c>
      <c r="N11" s="26">
        <v>11561506</v>
      </c>
      <c r="O11" s="26">
        <v>8819816</v>
      </c>
      <c r="P11" s="26">
        <v>90096258</v>
      </c>
      <c r="Q11" s="26">
        <v>109089172</v>
      </c>
      <c r="R11" s="27">
        <f t="shared" si="3"/>
        <v>264772717</v>
      </c>
      <c r="S11" s="28">
        <f>Q11*'Order 30 Components'!AG11</f>
        <v>37289985.334160216</v>
      </c>
      <c r="T11" s="28">
        <f t="shared" si="30"/>
        <v>71799186.665839791</v>
      </c>
      <c r="U11" s="28">
        <f>R11*'Order 30 Components'!AG11</f>
        <v>90507339.571848199</v>
      </c>
      <c r="V11" s="143">
        <f t="shared" si="31"/>
        <v>174265377.42815179</v>
      </c>
      <c r="W11" s="154">
        <f t="shared" si="4"/>
        <v>3.5219014990422785E-2</v>
      </c>
      <c r="X11" s="154">
        <f t="shared" si="5"/>
        <v>8.7567012596362515E-2</v>
      </c>
      <c r="Y11" s="154">
        <f t="shared" si="6"/>
        <v>2.9933058942592225E-2</v>
      </c>
      <c r="Z11" s="154">
        <f t="shared" si="7"/>
        <v>5.7633953653770283E-2</v>
      </c>
      <c r="AA11" s="144">
        <v>5.91</v>
      </c>
      <c r="AB11" s="144">
        <v>1.2517</v>
      </c>
      <c r="AC11" s="144">
        <v>0.73440000000000005</v>
      </c>
      <c r="AD11" s="144">
        <v>1.2614000000000001</v>
      </c>
      <c r="AE11" s="144">
        <v>1.2544</v>
      </c>
      <c r="AF11" s="144">
        <v>1.7282999999999999</v>
      </c>
      <c r="AG11" s="144">
        <v>7.2300000000000003E-2</v>
      </c>
      <c r="AH11" s="144">
        <v>0.67149999999999999</v>
      </c>
      <c r="AI11" s="145">
        <f t="shared" si="8"/>
        <v>39340017.824599996</v>
      </c>
      <c r="AJ11" s="145">
        <f t="shared" si="9"/>
        <v>9136065.1838000007</v>
      </c>
      <c r="AK11" s="145">
        <f t="shared" si="10"/>
        <v>37128131.389600001</v>
      </c>
      <c r="AL11" s="152">
        <f t="shared" si="11"/>
        <v>119244633.42816931</v>
      </c>
      <c r="AM11" s="145">
        <f t="shared" si="12"/>
        <v>109888516.29980001</v>
      </c>
      <c r="AN11" s="145">
        <f t="shared" si="13"/>
        <v>314737364.12596929</v>
      </c>
      <c r="AO11" s="169">
        <v>3114860.0200000005</v>
      </c>
      <c r="AP11" s="159">
        <v>549766.38</v>
      </c>
      <c r="AQ11" s="149">
        <v>11467531.879999999</v>
      </c>
      <c r="AR11" s="149">
        <v>750000</v>
      </c>
      <c r="AS11" s="145">
        <f t="shared" si="32"/>
        <v>15882158.279999999</v>
      </c>
      <c r="AT11" s="145">
        <f t="shared" si="14"/>
        <v>298855205.84596932</v>
      </c>
      <c r="AU11" s="145">
        <f t="shared" si="15"/>
        <v>302604608.93168062</v>
      </c>
      <c r="AV11" s="145">
        <f t="shared" si="33"/>
        <v>-3749403.0857113004</v>
      </c>
      <c r="AW11" s="149">
        <f t="shared" si="16"/>
        <v>-0.12400221252226752</v>
      </c>
      <c r="AX11" s="133">
        <v>0.38</v>
      </c>
      <c r="AY11" s="150">
        <v>0.6</v>
      </c>
      <c r="AZ11" s="133">
        <v>0.02</v>
      </c>
      <c r="BA11" s="145">
        <f t="shared" si="17"/>
        <v>-1424773.1725702942</v>
      </c>
      <c r="BB11" s="145">
        <f t="shared" si="18"/>
        <v>-2249641.8514267802</v>
      </c>
      <c r="BC11" s="145">
        <f t="shared" si="19"/>
        <v>-74988.061714226016</v>
      </c>
      <c r="BD11" s="145">
        <f t="shared" si="20"/>
        <v>-1.3379374968685347E-2</v>
      </c>
      <c r="BE11" s="145">
        <f t="shared" si="21"/>
        <v>-2.4855905190329104E-2</v>
      </c>
      <c r="BF11" s="145">
        <f t="shared" si="22"/>
        <v>-4.3030958197730926E-4</v>
      </c>
      <c r="BG11" s="145">
        <f t="shared" si="23"/>
        <v>1.2410206250313147</v>
      </c>
      <c r="BH11" s="145">
        <f t="shared" si="24"/>
        <v>1.7034440948096707</v>
      </c>
      <c r="BI11" s="145">
        <f t="shared" si="25"/>
        <v>7.18696904180227E-2</v>
      </c>
      <c r="BJ11" s="154">
        <f t="shared" si="26"/>
        <v>4.1019014990422785E-2</v>
      </c>
      <c r="BK11" s="154">
        <f t="shared" si="27"/>
        <v>3.3133058942592226E-2</v>
      </c>
      <c r="BL11" s="154">
        <f t="shared" si="28"/>
        <v>5.9433953653770286E-2</v>
      </c>
      <c r="BM11" s="145">
        <f t="shared" si="29"/>
        <v>-0.13979359538976627</v>
      </c>
    </row>
    <row r="12" spans="1:65" ht="18" customHeight="1" x14ac:dyDescent="0.25">
      <c r="A12" s="11">
        <v>2009</v>
      </c>
      <c r="B12" s="12" t="s">
        <v>8</v>
      </c>
      <c r="C12" s="25">
        <v>2985848167</v>
      </c>
      <c r="D12" s="26">
        <f t="shared" si="0"/>
        <v>104783600</v>
      </c>
      <c r="E12" s="27">
        <f t="shared" si="1"/>
        <v>260065153</v>
      </c>
      <c r="F12" s="29">
        <v>10245155</v>
      </c>
      <c r="G12" s="26">
        <v>7918735</v>
      </c>
      <c r="H12" s="28">
        <v>8831137</v>
      </c>
      <c r="I12" s="26">
        <v>39336095</v>
      </c>
      <c r="J12" s="26">
        <v>38452478</v>
      </c>
      <c r="K12" s="30">
        <f t="shared" si="2"/>
        <v>104783600</v>
      </c>
      <c r="L12" s="31">
        <v>417462853</v>
      </c>
      <c r="M12" s="32">
        <v>46371013</v>
      </c>
      <c r="N12" s="26">
        <v>10896917</v>
      </c>
      <c r="O12" s="26">
        <v>8038598</v>
      </c>
      <c r="P12" s="26">
        <v>84026234</v>
      </c>
      <c r="Q12" s="26">
        <v>110732391</v>
      </c>
      <c r="R12" s="27">
        <f t="shared" si="3"/>
        <v>260065153</v>
      </c>
      <c r="S12" s="28">
        <f>Q12*'Order 30 Components'!AG12</f>
        <v>37588571.448938251</v>
      </c>
      <c r="T12" s="28">
        <f t="shared" si="30"/>
        <v>73143819.551061749</v>
      </c>
      <c r="U12" s="28">
        <f>R12*'Order 30 Components'!AG12</f>
        <v>88280199.647450566</v>
      </c>
      <c r="V12" s="143">
        <f t="shared" si="31"/>
        <v>171784953.35254943</v>
      </c>
      <c r="W12" s="154">
        <f t="shared" si="4"/>
        <v>3.5093412035508906E-2</v>
      </c>
      <c r="X12" s="154">
        <f t="shared" si="5"/>
        <v>8.7099255707063547E-2</v>
      </c>
      <c r="Y12" s="154">
        <f t="shared" si="6"/>
        <v>2.9566205215367392E-2</v>
      </c>
      <c r="Z12" s="154">
        <f t="shared" si="7"/>
        <v>5.7533050491696165E-2</v>
      </c>
      <c r="AA12" s="144">
        <v>6.03</v>
      </c>
      <c r="AB12" s="144">
        <v>1.2682</v>
      </c>
      <c r="AC12" s="144">
        <v>0.74780000000000002</v>
      </c>
      <c r="AD12" s="144">
        <v>1.2507999999999999</v>
      </c>
      <c r="AE12" s="144">
        <v>1.2438</v>
      </c>
      <c r="AF12" s="144">
        <v>1.6970000000000001</v>
      </c>
      <c r="AG12" s="144">
        <v>9.4899999999999998E-2</v>
      </c>
      <c r="AH12" s="144">
        <v>0.66769999999999996</v>
      </c>
      <c r="AI12" s="145">
        <f t="shared" si="8"/>
        <v>40962087.690800004</v>
      </c>
      <c r="AJ12" s="145">
        <f t="shared" si="9"/>
        <v>9339356.7137000002</v>
      </c>
      <c r="AK12" s="145">
        <f t="shared" si="10"/>
        <v>35110718.014600001</v>
      </c>
      <c r="AL12" s="152">
        <f t="shared" si="11"/>
        <v>118556346.36064397</v>
      </c>
      <c r="AM12" s="145">
        <f t="shared" si="12"/>
        <v>105030551.40279999</v>
      </c>
      <c r="AN12" s="145">
        <f t="shared" si="13"/>
        <v>308999060.18254399</v>
      </c>
      <c r="AO12" s="169">
        <v>3160345.5500000003</v>
      </c>
      <c r="AP12" s="159">
        <v>583703.52</v>
      </c>
      <c r="AQ12" s="149">
        <v>11858666.939999999</v>
      </c>
      <c r="AR12" s="149">
        <v>750000</v>
      </c>
      <c r="AS12" s="145">
        <f t="shared" si="32"/>
        <v>16352716.01</v>
      </c>
      <c r="AT12" s="145">
        <f t="shared" si="14"/>
        <v>292646344.172544</v>
      </c>
      <c r="AU12" s="145">
        <f t="shared" si="15"/>
        <v>296443732.55488062</v>
      </c>
      <c r="AV12" s="145">
        <f t="shared" si="33"/>
        <v>-3797388.3823366165</v>
      </c>
      <c r="AW12" s="149">
        <f t="shared" si="16"/>
        <v>-0.12717955401436246</v>
      </c>
      <c r="AX12" s="133">
        <v>0.38</v>
      </c>
      <c r="AY12" s="150">
        <v>0.6</v>
      </c>
      <c r="AZ12" s="133">
        <v>0.02</v>
      </c>
      <c r="BA12" s="145">
        <f t="shared" si="17"/>
        <v>-1443007.5852879144</v>
      </c>
      <c r="BB12" s="145">
        <f t="shared" si="18"/>
        <v>-2278433.0294019696</v>
      </c>
      <c r="BC12" s="145">
        <f t="shared" si="19"/>
        <v>-75947.767646732333</v>
      </c>
      <c r="BD12" s="145">
        <f t="shared" si="20"/>
        <v>-1.3771311400714562E-2</v>
      </c>
      <c r="BE12" s="145">
        <f t="shared" si="21"/>
        <v>-2.5809105988669659E-2</v>
      </c>
      <c r="BF12" s="145">
        <f t="shared" si="22"/>
        <v>-4.4210954547844978E-4</v>
      </c>
      <c r="BG12" s="145">
        <f t="shared" si="23"/>
        <v>1.2300286885992855</v>
      </c>
      <c r="BH12" s="145">
        <f t="shared" si="24"/>
        <v>1.6711908940113305</v>
      </c>
      <c r="BI12" s="145">
        <f t="shared" si="25"/>
        <v>9.4457890454521548E-2</v>
      </c>
      <c r="BJ12" s="154">
        <f t="shared" si="26"/>
        <v>4.0893412035508905E-2</v>
      </c>
      <c r="BK12" s="154">
        <f t="shared" si="27"/>
        <v>3.276620521536739E-2</v>
      </c>
      <c r="BL12" s="154">
        <f t="shared" si="28"/>
        <v>5.9333050491696168E-2</v>
      </c>
      <c r="BM12" s="145">
        <f t="shared" si="29"/>
        <v>-0.14350540826133731</v>
      </c>
    </row>
    <row r="13" spans="1:65" ht="18" customHeight="1" x14ac:dyDescent="0.25">
      <c r="A13" s="11">
        <v>2009</v>
      </c>
      <c r="B13" s="12" t="s">
        <v>259</v>
      </c>
      <c r="C13" s="25">
        <v>2983939675</v>
      </c>
      <c r="D13" s="26">
        <f t="shared" si="0"/>
        <v>105281983</v>
      </c>
      <c r="E13" s="27">
        <f t="shared" si="1"/>
        <v>260944319</v>
      </c>
      <c r="F13" s="29">
        <v>10207288</v>
      </c>
      <c r="G13" s="26">
        <v>8444459</v>
      </c>
      <c r="H13" s="28">
        <v>8916657</v>
      </c>
      <c r="I13" s="26">
        <v>38816971</v>
      </c>
      <c r="J13" s="26">
        <v>38896608</v>
      </c>
      <c r="K13" s="30">
        <f t="shared" si="2"/>
        <v>105281983</v>
      </c>
      <c r="L13" s="31">
        <v>430684112</v>
      </c>
      <c r="M13" s="32">
        <v>47623680</v>
      </c>
      <c r="N13" s="26">
        <v>12226338</v>
      </c>
      <c r="O13" s="26">
        <v>8186321</v>
      </c>
      <c r="P13" s="26">
        <v>81678947</v>
      </c>
      <c r="Q13" s="26">
        <v>111229033</v>
      </c>
      <c r="R13" s="27">
        <f t="shared" si="3"/>
        <v>260944319</v>
      </c>
      <c r="S13" s="28">
        <f>Q13*'Order 30 Components'!AG13</f>
        <v>38044612.015270695</v>
      </c>
      <c r="T13" s="28">
        <f t="shared" si="30"/>
        <v>73184420.984729305</v>
      </c>
      <c r="U13" s="28">
        <f>R13*'Order 30 Components'!AG13</f>
        <v>89253004.419664681</v>
      </c>
      <c r="V13" s="143">
        <f t="shared" si="31"/>
        <v>171691314.58033532</v>
      </c>
      <c r="W13" s="154">
        <f t="shared" si="4"/>
        <v>3.5282879168795529E-2</v>
      </c>
      <c r="X13" s="154">
        <f t="shared" si="5"/>
        <v>8.7449595977505817E-2</v>
      </c>
      <c r="Y13" s="154">
        <f t="shared" si="6"/>
        <v>2.9911128957278495E-2</v>
      </c>
      <c r="Z13" s="154">
        <f t="shared" si="7"/>
        <v>5.7538467020227316E-2</v>
      </c>
      <c r="AA13" s="144">
        <v>6</v>
      </c>
      <c r="AB13" s="144">
        <v>1.2149000000000001</v>
      </c>
      <c r="AC13" s="144">
        <v>0.74439999999999995</v>
      </c>
      <c r="AD13" s="144">
        <v>1.2561</v>
      </c>
      <c r="AE13" s="144">
        <v>1.2491000000000001</v>
      </c>
      <c r="AF13" s="144">
        <v>2.1009000000000002</v>
      </c>
      <c r="AG13" s="144">
        <v>9.6199999999999994E-2</v>
      </c>
      <c r="AH13" s="144">
        <v>0.69179999999999997</v>
      </c>
      <c r="AI13" s="145">
        <f t="shared" si="8"/>
        <v>41099301.711199999</v>
      </c>
      <c r="AJ13" s="145">
        <f t="shared" si="9"/>
        <v>9623747.0759999994</v>
      </c>
      <c r="AK13" s="145">
        <f t="shared" si="10"/>
        <v>37002481.167199999</v>
      </c>
      <c r="AL13" s="152">
        <f t="shared" si="11"/>
        <v>135554019.73441318</v>
      </c>
      <c r="AM13" s="145">
        <f t="shared" si="12"/>
        <v>104991774.0107</v>
      </c>
      <c r="AN13" s="145">
        <f t="shared" si="13"/>
        <v>328271323.6995132</v>
      </c>
      <c r="AO13" s="169">
        <v>3410868.87</v>
      </c>
      <c r="AP13" s="159">
        <v>587575.99</v>
      </c>
      <c r="AQ13" s="149">
        <v>11857566.539999999</v>
      </c>
      <c r="AR13" s="149">
        <v>750000</v>
      </c>
      <c r="AS13" s="145">
        <f t="shared" si="32"/>
        <v>16606011.399999999</v>
      </c>
      <c r="AT13" s="145">
        <f t="shared" si="14"/>
        <v>311665312.29951322</v>
      </c>
      <c r="AU13" s="145">
        <f t="shared" si="15"/>
        <v>335536066.41320181</v>
      </c>
      <c r="AV13" s="145">
        <f t="shared" si="33"/>
        <v>-23870754.113688588</v>
      </c>
      <c r="AW13" s="149">
        <f t="shared" si="16"/>
        <v>-0.79997442018289422</v>
      </c>
      <c r="AX13" s="133">
        <v>0.38</v>
      </c>
      <c r="AY13" s="150">
        <v>0.6</v>
      </c>
      <c r="AZ13" s="133">
        <v>0.02</v>
      </c>
      <c r="BA13" s="145">
        <f t="shared" si="17"/>
        <v>-9070886.563201664</v>
      </c>
      <c r="BB13" s="145">
        <f t="shared" si="18"/>
        <v>-14322452.468213152</v>
      </c>
      <c r="BC13" s="145">
        <f t="shared" si="19"/>
        <v>-477415.08227377175</v>
      </c>
      <c r="BD13" s="145">
        <f t="shared" si="20"/>
        <v>-8.6158013980432574E-2</v>
      </c>
      <c r="BE13" s="145">
        <f t="shared" si="21"/>
        <v>-0.16047025600246972</v>
      </c>
      <c r="BF13" s="145">
        <f t="shared" si="22"/>
        <v>-2.7806594843817018E-3</v>
      </c>
      <c r="BG13" s="145">
        <f t="shared" si="23"/>
        <v>1.1629419860195676</v>
      </c>
      <c r="BH13" s="145">
        <f t="shared" si="24"/>
        <v>1.9404297439975304</v>
      </c>
      <c r="BI13" s="145">
        <f t="shared" si="25"/>
        <v>9.3419340515618288E-2</v>
      </c>
      <c r="BJ13" s="154">
        <f t="shared" si="26"/>
        <v>4.1082879168795529E-2</v>
      </c>
      <c r="BK13" s="154">
        <f t="shared" si="27"/>
        <v>3.3111128957278496E-2</v>
      </c>
      <c r="BL13" s="154">
        <f t="shared" si="28"/>
        <v>5.9338467020227319E-2</v>
      </c>
      <c r="BM13" s="145">
        <f t="shared" si="29"/>
        <v>-0.90179706891952427</v>
      </c>
    </row>
    <row r="14" spans="1:65" ht="18" customHeight="1" x14ac:dyDescent="0.25">
      <c r="A14" s="11">
        <v>2009</v>
      </c>
      <c r="B14" s="12" t="s">
        <v>260</v>
      </c>
      <c r="C14" s="25">
        <v>2820771945</v>
      </c>
      <c r="D14" s="26">
        <f t="shared" si="0"/>
        <v>101153516</v>
      </c>
      <c r="E14" s="27">
        <f t="shared" si="1"/>
        <v>247688116</v>
      </c>
      <c r="F14" s="29">
        <v>10091508</v>
      </c>
      <c r="G14" s="26">
        <v>8011466</v>
      </c>
      <c r="H14" s="28">
        <v>7738644</v>
      </c>
      <c r="I14" s="26">
        <v>37637731</v>
      </c>
      <c r="J14" s="26">
        <v>37674167</v>
      </c>
      <c r="K14" s="30">
        <f t="shared" si="2"/>
        <v>101153516</v>
      </c>
      <c r="L14" s="31">
        <v>435555684</v>
      </c>
      <c r="M14" s="32">
        <v>48132799</v>
      </c>
      <c r="N14" s="26">
        <v>11664004</v>
      </c>
      <c r="O14" s="26">
        <v>7318893</v>
      </c>
      <c r="P14" s="26">
        <v>70894775</v>
      </c>
      <c r="Q14" s="26">
        <v>109677645</v>
      </c>
      <c r="R14" s="27">
        <f t="shared" si="3"/>
        <v>247688116</v>
      </c>
      <c r="S14" s="28">
        <f>Q14*'Order 30 Components'!AG14</f>
        <v>38185102.669647314</v>
      </c>
      <c r="T14" s="28">
        <f t="shared" si="30"/>
        <v>71492542.330352694</v>
      </c>
      <c r="U14" s="28">
        <f>R14*'Order 30 Components'!AG14</f>
        <v>86234493.268993095</v>
      </c>
      <c r="V14" s="143">
        <f t="shared" si="31"/>
        <v>161453622.73100692</v>
      </c>
      <c r="W14" s="154">
        <f t="shared" si="4"/>
        <v>3.5860224779710077E-2</v>
      </c>
      <c r="X14" s="154">
        <f t="shared" si="5"/>
        <v>8.7808628570290176E-2</v>
      </c>
      <c r="Y14" s="154">
        <f t="shared" si="6"/>
        <v>3.0571238990748362E-2</v>
      </c>
      <c r="Z14" s="154">
        <f t="shared" si="7"/>
        <v>5.7237389579541824E-2</v>
      </c>
      <c r="AA14" s="144">
        <v>6.74</v>
      </c>
      <c r="AB14" s="144">
        <v>1.2645999999999999</v>
      </c>
      <c r="AC14" s="144">
        <v>0.7722</v>
      </c>
      <c r="AD14" s="144">
        <v>1.2296</v>
      </c>
      <c r="AE14" s="144">
        <v>1.2225999999999999</v>
      </c>
      <c r="AF14" s="144">
        <v>2.4243000000000001</v>
      </c>
      <c r="AG14" s="144">
        <v>0.1018</v>
      </c>
      <c r="AH14" s="144">
        <v>0.79059999999999997</v>
      </c>
      <c r="AI14" s="145">
        <f t="shared" si="8"/>
        <v>45362324.770999998</v>
      </c>
      <c r="AJ14" s="145">
        <f t="shared" si="9"/>
        <v>9727465.8226999994</v>
      </c>
      <c r="AK14" s="145">
        <f t="shared" si="10"/>
        <v>34024928.319399998</v>
      </c>
      <c r="AL14" s="152">
        <f t="shared" si="11"/>
        <v>145910521.78545588</v>
      </c>
      <c r="AM14" s="145">
        <f t="shared" si="12"/>
        <v>102065299.03559999</v>
      </c>
      <c r="AN14" s="145">
        <f t="shared" si="13"/>
        <v>337090539.73415589</v>
      </c>
      <c r="AO14" s="169">
        <v>3353463.3400000003</v>
      </c>
      <c r="AP14" s="159">
        <v>570693.39</v>
      </c>
      <c r="AQ14" s="149">
        <v>11469845.16</v>
      </c>
      <c r="AR14" s="149">
        <v>750000</v>
      </c>
      <c r="AS14" s="145">
        <f t="shared" si="32"/>
        <v>16144001.890000001</v>
      </c>
      <c r="AT14" s="145">
        <f t="shared" si="14"/>
        <v>320946537.84415591</v>
      </c>
      <c r="AU14" s="145">
        <f t="shared" si="15"/>
        <v>349164549.48763645</v>
      </c>
      <c r="AV14" s="145">
        <f t="shared" si="33"/>
        <v>-28218011.643480539</v>
      </c>
      <c r="AW14" s="149">
        <f t="shared" si="16"/>
        <v>-1.0003648715203222</v>
      </c>
      <c r="AX14" s="133">
        <v>0.38</v>
      </c>
      <c r="AY14" s="150">
        <v>0.6</v>
      </c>
      <c r="AZ14" s="133">
        <v>0.02</v>
      </c>
      <c r="BA14" s="145">
        <f t="shared" si="17"/>
        <v>-10722844.424522605</v>
      </c>
      <c r="BB14" s="145">
        <f t="shared" si="18"/>
        <v>-16930806.986088324</v>
      </c>
      <c r="BC14" s="145">
        <f t="shared" si="19"/>
        <v>-564360.23286961077</v>
      </c>
      <c r="BD14" s="145">
        <f t="shared" si="20"/>
        <v>-0.10600565208749249</v>
      </c>
      <c r="BE14" s="145">
        <f t="shared" si="21"/>
        <v>-0.19633451005823965</v>
      </c>
      <c r="BF14" s="145">
        <f t="shared" si="22"/>
        <v>-3.4954943922805284E-3</v>
      </c>
      <c r="BG14" s="145">
        <f t="shared" si="23"/>
        <v>1.1165943479125073</v>
      </c>
      <c r="BH14" s="145">
        <f t="shared" si="24"/>
        <v>2.2279654899417602</v>
      </c>
      <c r="BI14" s="145">
        <f t="shared" si="25"/>
        <v>9.8304505607719472E-2</v>
      </c>
      <c r="BJ14" s="154">
        <f t="shared" si="26"/>
        <v>4.1660224779710077E-2</v>
      </c>
      <c r="BK14" s="154">
        <f t="shared" si="27"/>
        <v>3.377123899074836E-2</v>
      </c>
      <c r="BL14" s="154">
        <f t="shared" si="28"/>
        <v>5.9037389579541827E-2</v>
      </c>
      <c r="BM14" s="145">
        <f t="shared" si="29"/>
        <v>-1.1253043819403148</v>
      </c>
    </row>
    <row r="15" spans="1:65" ht="18" customHeight="1" x14ac:dyDescent="0.25">
      <c r="A15" s="11">
        <v>2009</v>
      </c>
      <c r="B15" s="12" t="s">
        <v>261</v>
      </c>
      <c r="C15" s="25">
        <v>2950019796</v>
      </c>
      <c r="D15" s="26">
        <f t="shared" si="0"/>
        <v>108317711</v>
      </c>
      <c r="E15" s="27">
        <f t="shared" si="1"/>
        <v>261463352</v>
      </c>
      <c r="F15" s="29">
        <v>10488352</v>
      </c>
      <c r="G15" s="26">
        <v>10389116</v>
      </c>
      <c r="H15" s="28">
        <v>6710480</v>
      </c>
      <c r="I15" s="26">
        <v>40938920</v>
      </c>
      <c r="J15" s="26">
        <v>39790843</v>
      </c>
      <c r="K15" s="30">
        <f t="shared" si="2"/>
        <v>108317711</v>
      </c>
      <c r="L15" s="31">
        <v>450958676</v>
      </c>
      <c r="M15" s="32">
        <v>49967476</v>
      </c>
      <c r="N15" s="26">
        <v>11319141</v>
      </c>
      <c r="O15" s="26">
        <v>6207932</v>
      </c>
      <c r="P15" s="26">
        <v>81216163</v>
      </c>
      <c r="Q15" s="26">
        <v>112752640</v>
      </c>
      <c r="R15" s="27">
        <f t="shared" si="3"/>
        <v>261463352</v>
      </c>
      <c r="S15" s="28">
        <f>Q15*'Order 30 Components'!AG15</f>
        <v>39911722.584568076</v>
      </c>
      <c r="T15" s="28">
        <f t="shared" si="30"/>
        <v>72840917.415431917</v>
      </c>
      <c r="U15" s="28">
        <f>R15*'Order 30 Components'!AG15</f>
        <v>92551737.777982607</v>
      </c>
      <c r="V15" s="143">
        <f t="shared" si="31"/>
        <v>168911614.22201741</v>
      </c>
      <c r="W15" s="154">
        <f t="shared" si="4"/>
        <v>3.6717621741681354E-2</v>
      </c>
      <c r="X15" s="154">
        <f t="shared" si="5"/>
        <v>8.8631049986350671E-2</v>
      </c>
      <c r="Y15" s="154">
        <f t="shared" si="6"/>
        <v>3.1373259902687994E-2</v>
      </c>
      <c r="Z15" s="154">
        <f t="shared" si="7"/>
        <v>5.7257790083662684E-2</v>
      </c>
      <c r="AA15" s="144">
        <v>8.43</v>
      </c>
      <c r="AB15" s="144">
        <v>1.2040999999999999</v>
      </c>
      <c r="AC15" s="144">
        <v>0.85670000000000002</v>
      </c>
      <c r="AD15" s="144">
        <v>1.2822</v>
      </c>
      <c r="AE15" s="144">
        <v>1.2751999999999999</v>
      </c>
      <c r="AF15" s="144">
        <v>2.5583999999999998</v>
      </c>
      <c r="AG15" s="144">
        <v>0.12280000000000001</v>
      </c>
      <c r="AH15" s="144">
        <v>0.85060000000000002</v>
      </c>
      <c r="AI15" s="145">
        <f t="shared" si="8"/>
        <v>54857099.256799996</v>
      </c>
      <c r="AJ15" s="145">
        <f t="shared" si="9"/>
        <v>10074865.728800001</v>
      </c>
      <c r="AK15" s="145">
        <f t="shared" si="10"/>
        <v>36940545.430299997</v>
      </c>
      <c r="AL15" s="152">
        <f t="shared" si="11"/>
        <v>161796298.71257401</v>
      </c>
      <c r="AM15" s="145">
        <f t="shared" si="12"/>
        <v>121287779.0318</v>
      </c>
      <c r="AN15" s="145">
        <f t="shared" si="13"/>
        <v>384956588.16027403</v>
      </c>
      <c r="AO15" s="169">
        <v>3402410.8</v>
      </c>
      <c r="AP15" s="159">
        <v>559441.66999999993</v>
      </c>
      <c r="AQ15" s="149">
        <v>11854481.65</v>
      </c>
      <c r="AR15" s="149">
        <v>750000</v>
      </c>
      <c r="AS15" s="145">
        <f t="shared" si="32"/>
        <v>16566334.120000001</v>
      </c>
      <c r="AT15" s="145">
        <f t="shared" si="14"/>
        <v>368390254.04027402</v>
      </c>
      <c r="AU15" s="145">
        <f t="shared" si="15"/>
        <v>395653457.22485441</v>
      </c>
      <c r="AV15" s="145">
        <f t="shared" si="33"/>
        <v>-27263203.184580386</v>
      </c>
      <c r="AW15" s="149">
        <f t="shared" si="16"/>
        <v>-0.9241701774865102</v>
      </c>
      <c r="AX15" s="133">
        <v>0.38</v>
      </c>
      <c r="AY15" s="150">
        <v>0.6</v>
      </c>
      <c r="AZ15" s="133">
        <v>0.02</v>
      </c>
      <c r="BA15" s="145">
        <f t="shared" si="17"/>
        <v>-10360017.210140547</v>
      </c>
      <c r="BB15" s="145">
        <f t="shared" si="18"/>
        <v>-16357921.91074823</v>
      </c>
      <c r="BC15" s="145">
        <f t="shared" si="19"/>
        <v>-545264.06369160768</v>
      </c>
      <c r="BD15" s="145">
        <f t="shared" si="20"/>
        <v>-9.5644720650905804E-2</v>
      </c>
      <c r="BE15" s="145">
        <f t="shared" si="21"/>
        <v>-0.17674354154201158</v>
      </c>
      <c r="BF15" s="145">
        <f t="shared" si="22"/>
        <v>-3.228102852506712E-3</v>
      </c>
      <c r="BG15" s="145">
        <f t="shared" si="23"/>
        <v>1.179555279349094</v>
      </c>
      <c r="BH15" s="145">
        <f t="shared" si="24"/>
        <v>2.381656458457988</v>
      </c>
      <c r="BI15" s="145">
        <f t="shared" si="25"/>
        <v>0.11957189714749329</v>
      </c>
      <c r="BJ15" s="154">
        <f t="shared" si="26"/>
        <v>4.2517621741681354E-2</v>
      </c>
      <c r="BK15" s="154">
        <f t="shared" si="27"/>
        <v>3.4573259902687996E-2</v>
      </c>
      <c r="BL15" s="154">
        <f t="shared" si="28"/>
        <v>5.9057790083662687E-2</v>
      </c>
      <c r="BM15" s="145">
        <f t="shared" si="29"/>
        <v>-1.0367831072709306</v>
      </c>
    </row>
    <row r="16" spans="1:65" ht="18" customHeight="1" x14ac:dyDescent="0.25">
      <c r="A16" s="11">
        <v>2009</v>
      </c>
      <c r="B16" s="12" t="s">
        <v>262</v>
      </c>
      <c r="C16" s="25">
        <v>2886548239</v>
      </c>
      <c r="D16" s="26">
        <f t="shared" si="0"/>
        <v>108050246</v>
      </c>
      <c r="E16" s="27">
        <f t="shared" si="1"/>
        <v>257435695</v>
      </c>
      <c r="F16" s="29">
        <v>10348154</v>
      </c>
      <c r="G16" s="26">
        <v>11578350</v>
      </c>
      <c r="H16" s="28">
        <v>5420454</v>
      </c>
      <c r="I16" s="26">
        <v>42297871</v>
      </c>
      <c r="J16" s="26">
        <v>38405417</v>
      </c>
      <c r="K16" s="30">
        <f t="shared" si="2"/>
        <v>108050246</v>
      </c>
      <c r="L16" s="31">
        <v>439413050</v>
      </c>
      <c r="M16" s="32">
        <v>49075155</v>
      </c>
      <c r="N16" s="26">
        <v>11289149</v>
      </c>
      <c r="O16" s="26">
        <v>4970693</v>
      </c>
      <c r="P16" s="26">
        <v>83950753</v>
      </c>
      <c r="Q16" s="26">
        <v>108149945</v>
      </c>
      <c r="R16" s="27">
        <f t="shared" si="3"/>
        <v>257435695</v>
      </c>
      <c r="S16" s="28">
        <f>Q16*'Order 30 Components'!AG16</f>
        <v>38454681.29834646</v>
      </c>
      <c r="T16" s="28">
        <f t="shared" si="30"/>
        <v>69695263.70165354</v>
      </c>
      <c r="U16" s="28">
        <f>R16*'Order 30 Components'!AG16</f>
        <v>91535946.745449796</v>
      </c>
      <c r="V16" s="143">
        <f t="shared" si="31"/>
        <v>165899748.25455022</v>
      </c>
      <c r="W16" s="154">
        <f t="shared" si="4"/>
        <v>3.743233684444932E-2</v>
      </c>
      <c r="X16" s="154">
        <f t="shared" si="5"/>
        <v>8.9184615563253022E-2</v>
      </c>
      <c r="Y16" s="154">
        <f t="shared" si="6"/>
        <v>3.1711213243801883E-2</v>
      </c>
      <c r="Z16" s="154">
        <f t="shared" si="7"/>
        <v>5.7473402319451146E-2</v>
      </c>
      <c r="AA16" s="144">
        <v>8.6999999999999993</v>
      </c>
      <c r="AB16" s="144">
        <v>1.2751999999999999</v>
      </c>
      <c r="AC16" s="144">
        <v>0.93110000000000004</v>
      </c>
      <c r="AD16" s="144">
        <v>1.4725999999999999</v>
      </c>
      <c r="AE16" s="144">
        <v>1.4656</v>
      </c>
      <c r="AF16" s="144">
        <v>2.6991000000000001</v>
      </c>
      <c r="AG16" s="144">
        <v>0.15240000000000001</v>
      </c>
      <c r="AH16" s="144">
        <v>0.93479999999999996</v>
      </c>
      <c r="AI16" s="145">
        <f t="shared" si="8"/>
        <v>55694439.815799996</v>
      </c>
      <c r="AJ16" s="145">
        <f t="shared" si="9"/>
        <v>9827076.2722999994</v>
      </c>
      <c r="AK16" s="145">
        <f t="shared" si="10"/>
        <v>40171977.656599998</v>
      </c>
      <c r="AL16" s="152">
        <f t="shared" si="11"/>
        <v>170701567.63569894</v>
      </c>
      <c r="AM16" s="145">
        <f t="shared" si="12"/>
        <v>140468923.64199999</v>
      </c>
      <c r="AN16" s="145">
        <f t="shared" si="13"/>
        <v>416863985.02239895</v>
      </c>
      <c r="AO16" s="169">
        <v>3177879.08</v>
      </c>
      <c r="AP16" s="159">
        <v>533107.09</v>
      </c>
      <c r="AQ16" s="149">
        <v>11474121.41</v>
      </c>
      <c r="AR16" s="149">
        <v>750000</v>
      </c>
      <c r="AS16" s="145">
        <f t="shared" si="32"/>
        <v>15935107.58</v>
      </c>
      <c r="AT16" s="145">
        <f t="shared" si="14"/>
        <v>400928877.44239897</v>
      </c>
      <c r="AU16" s="145">
        <f t="shared" si="15"/>
        <v>430706236.03223699</v>
      </c>
      <c r="AV16" s="145">
        <f t="shared" si="33"/>
        <v>-29777358.589838028</v>
      </c>
      <c r="AW16" s="149">
        <f t="shared" si="16"/>
        <v>-1.0315905408237325</v>
      </c>
      <c r="AX16" s="133">
        <v>0.38</v>
      </c>
      <c r="AY16" s="150">
        <v>0.6</v>
      </c>
      <c r="AZ16" s="133">
        <v>0.02</v>
      </c>
      <c r="BA16" s="145">
        <f t="shared" si="17"/>
        <v>-11315396.264138451</v>
      </c>
      <c r="BB16" s="145">
        <f t="shared" si="18"/>
        <v>-17866415.153902818</v>
      </c>
      <c r="BC16" s="145">
        <f t="shared" si="19"/>
        <v>-595547.17179676052</v>
      </c>
      <c r="BD16" s="145">
        <f t="shared" si="20"/>
        <v>-0.10472346600801308</v>
      </c>
      <c r="BE16" s="145">
        <f t="shared" si="21"/>
        <v>-0.19518468742763015</v>
      </c>
      <c r="BF16" s="145">
        <f t="shared" si="22"/>
        <v>-3.5898015401625307E-3</v>
      </c>
      <c r="BG16" s="145">
        <f t="shared" si="23"/>
        <v>1.3608765339919868</v>
      </c>
      <c r="BH16" s="145">
        <f t="shared" si="24"/>
        <v>2.5039153125723699</v>
      </c>
      <c r="BI16" s="145">
        <f t="shared" si="25"/>
        <v>0.14881019845983748</v>
      </c>
      <c r="BJ16" s="154">
        <f t="shared" si="26"/>
        <v>4.3232336844449319E-2</v>
      </c>
      <c r="BK16" s="154">
        <f t="shared" si="27"/>
        <v>3.4911213243801885E-2</v>
      </c>
      <c r="BL16" s="154">
        <f t="shared" si="28"/>
        <v>5.9273402319451149E-2</v>
      </c>
      <c r="BM16" s="145">
        <f t="shared" si="29"/>
        <v>-1.1554354153624511</v>
      </c>
    </row>
    <row r="17" spans="1:65" s="146" customFormat="1" ht="18" customHeight="1" x14ac:dyDescent="0.25">
      <c r="A17" s="85">
        <v>2009</v>
      </c>
      <c r="B17" s="86" t="s">
        <v>263</v>
      </c>
      <c r="C17" s="251">
        <v>3031220901</v>
      </c>
      <c r="D17" s="252">
        <f t="shared" si="0"/>
        <v>114938623</v>
      </c>
      <c r="E17" s="253">
        <f t="shared" si="1"/>
        <v>270110820</v>
      </c>
      <c r="F17" s="255">
        <v>10796821</v>
      </c>
      <c r="G17" s="252">
        <v>11301840</v>
      </c>
      <c r="H17" s="254">
        <v>4578812</v>
      </c>
      <c r="I17" s="252">
        <v>47590820</v>
      </c>
      <c r="J17" s="252">
        <v>40670330</v>
      </c>
      <c r="K17" s="256">
        <f t="shared" si="2"/>
        <v>114938623</v>
      </c>
      <c r="L17" s="257">
        <v>451685654</v>
      </c>
      <c r="M17" s="258">
        <v>50131477</v>
      </c>
      <c r="N17" s="252">
        <v>11125191</v>
      </c>
      <c r="O17" s="252">
        <v>4261244</v>
      </c>
      <c r="P17" s="252">
        <v>93410341</v>
      </c>
      <c r="Q17" s="252">
        <v>111182567</v>
      </c>
      <c r="R17" s="253">
        <f t="shared" si="3"/>
        <v>270110820</v>
      </c>
      <c r="S17" s="28">
        <f>Q17*'Order 30 Components'!AG17</f>
        <v>39449928.784792855</v>
      </c>
      <c r="T17" s="254">
        <f t="shared" si="30"/>
        <v>71732638.215207145</v>
      </c>
      <c r="U17" s="28">
        <f>R17*'Order 30 Components'!AG17</f>
        <v>95841037.858048394</v>
      </c>
      <c r="V17" s="259">
        <f t="shared" si="31"/>
        <v>174269782.14195162</v>
      </c>
      <c r="W17" s="260">
        <f t="shared" si="4"/>
        <v>3.7918260250211965E-2</v>
      </c>
      <c r="X17" s="154">
        <f t="shared" si="5"/>
        <v>8.9109579546278003E-2</v>
      </c>
      <c r="Y17" s="260">
        <f t="shared" si="6"/>
        <v>3.1617965495827252E-2</v>
      </c>
      <c r="Z17" s="260">
        <f t="shared" si="7"/>
        <v>5.7491614050450765E-2</v>
      </c>
      <c r="AA17" s="261">
        <v>9.31</v>
      </c>
      <c r="AB17" s="261">
        <v>1.431</v>
      </c>
      <c r="AC17" s="261">
        <v>1.0156000000000001</v>
      </c>
      <c r="AD17" s="261">
        <v>1.5503</v>
      </c>
      <c r="AE17" s="261">
        <v>1.5432999999999999</v>
      </c>
      <c r="AF17" s="261">
        <v>2.8751000000000002</v>
      </c>
      <c r="AG17" s="261">
        <v>0.17269999999999999</v>
      </c>
      <c r="AH17" s="261">
        <v>1.1068</v>
      </c>
      <c r="AI17" s="263">
        <f t="shared" si="8"/>
        <v>62169425.747099996</v>
      </c>
      <c r="AJ17" s="263">
        <f t="shared" si="9"/>
        <v>10098494.8544</v>
      </c>
      <c r="AK17" s="263">
        <f t="shared" si="10"/>
        <v>40246238.181600004</v>
      </c>
      <c r="AL17" s="264">
        <f t="shared" si="11"/>
        <v>188577237.15792423</v>
      </c>
      <c r="AM17" s="263">
        <f t="shared" si="12"/>
        <v>176833477.92479998</v>
      </c>
      <c r="AN17" s="263">
        <f t="shared" si="13"/>
        <v>477924873.86582422</v>
      </c>
      <c r="AO17" s="265">
        <v>3197092.06</v>
      </c>
      <c r="AP17" s="266">
        <v>529716.30000000005</v>
      </c>
      <c r="AQ17" s="267">
        <v>11854207.99</v>
      </c>
      <c r="AR17" s="267">
        <v>750000</v>
      </c>
      <c r="AS17" s="263">
        <f t="shared" si="32"/>
        <v>16331016.350000001</v>
      </c>
      <c r="AT17" s="263">
        <f t="shared" si="14"/>
        <v>461593857.5158242</v>
      </c>
      <c r="AU17" s="263">
        <f t="shared" si="15"/>
        <v>483033736.19748998</v>
      </c>
      <c r="AV17" s="263">
        <f t="shared" si="33"/>
        <v>-21439878.681665778</v>
      </c>
      <c r="AW17" s="267">
        <f t="shared" si="16"/>
        <v>-0.70730175668136752</v>
      </c>
      <c r="AX17" s="262">
        <v>0.38</v>
      </c>
      <c r="AY17" s="268">
        <v>0.6</v>
      </c>
      <c r="AZ17" s="262">
        <v>0.02</v>
      </c>
      <c r="BA17" s="263">
        <f t="shared" si="17"/>
        <v>-8147153.899032996</v>
      </c>
      <c r="BB17" s="263">
        <f t="shared" si="18"/>
        <v>-12863927.208999466</v>
      </c>
      <c r="BC17" s="263">
        <f t="shared" si="19"/>
        <v>-428797.57363331557</v>
      </c>
      <c r="BD17" s="263">
        <f t="shared" si="20"/>
        <v>-7.0882647506861088E-2</v>
      </c>
      <c r="BE17" s="263">
        <f t="shared" si="21"/>
        <v>-0.13422149317761378</v>
      </c>
      <c r="BF17" s="263">
        <f t="shared" si="22"/>
        <v>-2.4605388746285232E-3</v>
      </c>
      <c r="BG17" s="263">
        <f t="shared" si="23"/>
        <v>1.4724173524931388</v>
      </c>
      <c r="BH17" s="263">
        <f t="shared" si="24"/>
        <v>2.7408785068223862</v>
      </c>
      <c r="BI17" s="263">
        <f t="shared" si="25"/>
        <v>0.17023946112537147</v>
      </c>
      <c r="BJ17" s="260">
        <f t="shared" si="26"/>
        <v>4.3718260250211964E-2</v>
      </c>
      <c r="BK17" s="260">
        <f t="shared" si="27"/>
        <v>3.4817965495827254E-2</v>
      </c>
      <c r="BL17" s="260">
        <f t="shared" si="28"/>
        <v>5.9291614050450768E-2</v>
      </c>
      <c r="BM17" s="263">
        <f t="shared" si="29"/>
        <v>-0.79180746704961658</v>
      </c>
    </row>
    <row r="18" spans="1:65" ht="18" customHeight="1" x14ac:dyDescent="0.25">
      <c r="A18" s="11">
        <v>2010</v>
      </c>
      <c r="B18" s="12" t="s">
        <v>255</v>
      </c>
      <c r="C18" s="25">
        <v>3088823230</v>
      </c>
      <c r="D18" s="26">
        <f t="shared" ref="D18:D29" si="34">+K18</f>
        <v>116021423</v>
      </c>
      <c r="E18" s="27">
        <f t="shared" ref="E18:E29" si="35">+R18</f>
        <v>273728133</v>
      </c>
      <c r="F18" s="29">
        <v>10332151</v>
      </c>
      <c r="G18" s="26">
        <v>7853981</v>
      </c>
      <c r="H18" s="28">
        <v>5839360</v>
      </c>
      <c r="I18" s="26">
        <v>51631778</v>
      </c>
      <c r="J18" s="26">
        <v>40364153</v>
      </c>
      <c r="K18" s="30">
        <f t="shared" ref="K18:K29" si="36">SUM(F18:J18)</f>
        <v>116021423</v>
      </c>
      <c r="L18" s="31">
        <v>442779638</v>
      </c>
      <c r="M18" s="32">
        <v>49330428</v>
      </c>
      <c r="N18" s="26">
        <v>10958146</v>
      </c>
      <c r="O18" s="26">
        <v>5318041</v>
      </c>
      <c r="P18" s="26">
        <v>96614187</v>
      </c>
      <c r="Q18" s="26">
        <v>111507331</v>
      </c>
      <c r="R18" s="27">
        <f t="shared" ref="R18:R29" si="37">SUM(M18:Q18)</f>
        <v>273728133</v>
      </c>
      <c r="S18" s="28">
        <f>Q18*'Order 30 Components'!AG6</f>
        <v>39300606.460104875</v>
      </c>
      <c r="T18" s="28">
        <f t="shared" si="30"/>
        <v>72206724.539895117</v>
      </c>
      <c r="U18" s="28">
        <f>R18*'Order 30 Components'!AG6</f>
        <v>96475106.485081643</v>
      </c>
      <c r="V18" s="143">
        <f t="shared" si="31"/>
        <v>177253026.51491836</v>
      </c>
      <c r="W18" s="154">
        <f t="shared" si="4"/>
        <v>3.7561690767263491E-2</v>
      </c>
      <c r="X18" s="154">
        <f t="shared" si="5"/>
        <v>8.8618905200347126E-2</v>
      </c>
      <c r="Y18" s="154">
        <f t="shared" si="6"/>
        <v>3.1233612059140606E-2</v>
      </c>
      <c r="Z18" s="154">
        <f t="shared" si="7"/>
        <v>5.7385293141206516E-2</v>
      </c>
      <c r="AA18" s="144">
        <v>9.82</v>
      </c>
      <c r="AB18" s="144">
        <v>1.5873999999999999</v>
      </c>
      <c r="AC18" s="144">
        <v>1.1689000000000001</v>
      </c>
      <c r="AD18" s="144">
        <v>1.4475</v>
      </c>
      <c r="AE18" s="144">
        <v>1.4404999999999999</v>
      </c>
      <c r="AF18" s="144">
        <v>2.7915999999999999</v>
      </c>
      <c r="AG18" s="144">
        <v>0.1946</v>
      </c>
      <c r="AH18" s="144">
        <v>1.0147999999999999</v>
      </c>
      <c r="AI18" s="145">
        <f t="shared" si="8"/>
        <v>64726464.978600003</v>
      </c>
      <c r="AJ18" s="145">
        <f t="shared" si="9"/>
        <v>9898111.6748999991</v>
      </c>
      <c r="AK18" s="145">
        <f t="shared" si="10"/>
        <v>38846346.081799999</v>
      </c>
      <c r="AL18" s="152">
        <f t="shared" si="11"/>
        <v>181907563.98599234</v>
      </c>
      <c r="AM18" s="145">
        <f t="shared" si="12"/>
        <v>172419653.17659998</v>
      </c>
      <c r="AN18" s="145">
        <f t="shared" si="13"/>
        <v>467798139.89789236</v>
      </c>
      <c r="AO18" s="169">
        <v>3252529.1399999997</v>
      </c>
      <c r="AP18" s="159">
        <v>593249.07000000007</v>
      </c>
      <c r="AQ18" s="149">
        <v>11853072.42</v>
      </c>
      <c r="AR18" s="149">
        <v>750000</v>
      </c>
      <c r="AS18" s="145">
        <f t="shared" si="32"/>
        <v>16448850.629999999</v>
      </c>
      <c r="AT18" s="145">
        <f t="shared" si="14"/>
        <v>451349289.26789236</v>
      </c>
      <c r="AU18" s="145">
        <f t="shared" si="15"/>
        <v>470942206.05505699</v>
      </c>
      <c r="AV18" s="145">
        <f t="shared" si="33"/>
        <v>-19592916.787164629</v>
      </c>
      <c r="AW18" s="149">
        <f t="shared" si="16"/>
        <v>-0.63431654478863231</v>
      </c>
      <c r="AX18" s="133">
        <v>0.44</v>
      </c>
      <c r="AY18" s="150">
        <v>0.5</v>
      </c>
      <c r="AZ18" s="133">
        <v>7.0000000000000007E-2</v>
      </c>
      <c r="BA18" s="145">
        <f t="shared" si="17"/>
        <v>-8620883.3863524366</v>
      </c>
      <c r="BB18" s="145">
        <f t="shared" si="18"/>
        <v>-9796458.3935823143</v>
      </c>
      <c r="BC18" s="145">
        <f t="shared" si="19"/>
        <v>-1371504.1751015242</v>
      </c>
      <c r="BD18" s="145">
        <f t="shared" si="20"/>
        <v>-7.4304237643701684E-2</v>
      </c>
      <c r="BE18" s="145">
        <f t="shared" si="21"/>
        <v>-0.10154389821893778</v>
      </c>
      <c r="BF18" s="145">
        <f t="shared" si="22"/>
        <v>-7.7375501116540464E-3</v>
      </c>
      <c r="BG18" s="145">
        <f t="shared" si="23"/>
        <v>1.3661957623562981</v>
      </c>
      <c r="BH18" s="145">
        <f t="shared" si="24"/>
        <v>2.690056101781062</v>
      </c>
      <c r="BI18" s="145">
        <f t="shared" si="25"/>
        <v>0.18686244988834594</v>
      </c>
      <c r="BJ18" s="154">
        <f t="shared" si="26"/>
        <v>4.336169076726349E-2</v>
      </c>
      <c r="BK18" s="154">
        <f t="shared" si="27"/>
        <v>3.4433612059140604E-2</v>
      </c>
      <c r="BL18" s="154">
        <f t="shared" si="28"/>
        <v>5.9185293141206519E-2</v>
      </c>
      <c r="BM18" s="145">
        <f t="shared" si="29"/>
        <v>-0.71764297452002335</v>
      </c>
    </row>
    <row r="19" spans="1:65" ht="18" customHeight="1" x14ac:dyDescent="0.25">
      <c r="A19" s="11">
        <v>2010</v>
      </c>
      <c r="B19" s="12" t="s">
        <v>256</v>
      </c>
      <c r="C19" s="25">
        <v>2827588207</v>
      </c>
      <c r="D19" s="26">
        <f t="shared" si="34"/>
        <v>104355553</v>
      </c>
      <c r="E19" s="27">
        <f t="shared" si="35"/>
        <v>249561710</v>
      </c>
      <c r="F19" s="29">
        <v>9522501</v>
      </c>
      <c r="G19" s="26">
        <v>6876036</v>
      </c>
      <c r="H19" s="28">
        <v>5916766</v>
      </c>
      <c r="I19" s="26">
        <v>46502041</v>
      </c>
      <c r="J19" s="26">
        <v>35538209</v>
      </c>
      <c r="K19" s="30">
        <f t="shared" si="36"/>
        <v>104355553</v>
      </c>
      <c r="L19" s="31">
        <v>405815756</v>
      </c>
      <c r="M19" s="32">
        <v>45003170</v>
      </c>
      <c r="N19" s="26">
        <v>10010912</v>
      </c>
      <c r="O19" s="26">
        <v>5282942</v>
      </c>
      <c r="P19" s="26">
        <v>87633185</v>
      </c>
      <c r="Q19" s="26">
        <v>101631501</v>
      </c>
      <c r="R19" s="27">
        <f t="shared" si="37"/>
        <v>249561710</v>
      </c>
      <c r="S19" s="28">
        <f>Q19*'Order 30 Components'!AG7</f>
        <v>35688590.894475125</v>
      </c>
      <c r="T19" s="28">
        <f t="shared" si="30"/>
        <v>65942910.105524875</v>
      </c>
      <c r="U19" s="28">
        <f>R19*'Order 30 Components'!AG7</f>
        <v>87635287.125353396</v>
      </c>
      <c r="V19" s="143">
        <f t="shared" si="31"/>
        <v>161926422.8746466</v>
      </c>
      <c r="W19" s="154">
        <f t="shared" si="4"/>
        <v>3.6906206052796708E-2</v>
      </c>
      <c r="X19" s="154">
        <f t="shared" si="5"/>
        <v>8.8259566715614052E-2</v>
      </c>
      <c r="Y19" s="154">
        <f t="shared" si="6"/>
        <v>3.0992945475017464E-2</v>
      </c>
      <c r="Z19" s="154">
        <f t="shared" si="7"/>
        <v>5.7266621240596581E-2</v>
      </c>
      <c r="AA19" s="144">
        <v>10.27</v>
      </c>
      <c r="AB19" s="144">
        <v>1.409</v>
      </c>
      <c r="AC19" s="144">
        <v>1.2189000000000001</v>
      </c>
      <c r="AD19" s="144">
        <v>1.4474</v>
      </c>
      <c r="AE19" s="144">
        <v>1.4403999999999999</v>
      </c>
      <c r="AF19" s="144">
        <v>2.7065999999999999</v>
      </c>
      <c r="AG19" s="144">
        <v>0.19919999999999999</v>
      </c>
      <c r="AH19" s="144">
        <v>0.90429999999999999</v>
      </c>
      <c r="AI19" s="145">
        <f t="shared" si="8"/>
        <v>59716307.609200001</v>
      </c>
      <c r="AJ19" s="145">
        <f t="shared" si="9"/>
        <v>9068726.1118999999</v>
      </c>
      <c r="AK19" s="145">
        <f t="shared" si="10"/>
        <v>37157980.255400002</v>
      </c>
      <c r="AL19" s="152">
        <f t="shared" si="11"/>
        <v>160919804.05160692</v>
      </c>
      <c r="AM19" s="145">
        <f t="shared" si="12"/>
        <v>146228229.0519</v>
      </c>
      <c r="AN19" s="145">
        <f t="shared" si="13"/>
        <v>413091047.08000696</v>
      </c>
      <c r="AO19" s="169">
        <v>3071636.11</v>
      </c>
      <c r="AP19" s="159">
        <v>536518.54</v>
      </c>
      <c r="AQ19" s="149">
        <v>10706845.880000001</v>
      </c>
      <c r="AR19" s="149">
        <v>750000</v>
      </c>
      <c r="AS19" s="145">
        <f t="shared" si="32"/>
        <v>15065000.530000001</v>
      </c>
      <c r="AT19" s="145">
        <f t="shared" si="14"/>
        <v>398026046.55000699</v>
      </c>
      <c r="AU19" s="145">
        <f t="shared" si="15"/>
        <v>419763150.11131108</v>
      </c>
      <c r="AV19" s="145">
        <f t="shared" si="33"/>
        <v>-21737103.561304092</v>
      </c>
      <c r="AW19" s="149">
        <f t="shared" si="16"/>
        <v>-0.76875067973092914</v>
      </c>
      <c r="AX19" s="133">
        <v>0.44</v>
      </c>
      <c r="AY19" s="150">
        <v>0.5</v>
      </c>
      <c r="AZ19" s="133">
        <v>7.0000000000000007E-2</v>
      </c>
      <c r="BA19" s="145">
        <f t="shared" si="17"/>
        <v>-9564325.5669737998</v>
      </c>
      <c r="BB19" s="145">
        <f t="shared" si="18"/>
        <v>-10868551.780652046</v>
      </c>
      <c r="BC19" s="145">
        <f t="shared" si="19"/>
        <v>-1521597.2492912866</v>
      </c>
      <c r="BD19" s="145">
        <f t="shared" si="20"/>
        <v>-9.165133327379138E-2</v>
      </c>
      <c r="BE19" s="145">
        <f t="shared" si="21"/>
        <v>-0.12402026783007722</v>
      </c>
      <c r="BF19" s="145">
        <f t="shared" si="22"/>
        <v>-9.3968434692663638E-3</v>
      </c>
      <c r="BG19" s="145">
        <f t="shared" si="23"/>
        <v>1.3487486667262085</v>
      </c>
      <c r="BH19" s="145">
        <f t="shared" si="24"/>
        <v>2.5825797321699229</v>
      </c>
      <c r="BI19" s="145">
        <f t="shared" si="25"/>
        <v>0.18980315653073362</v>
      </c>
      <c r="BJ19" s="154">
        <f t="shared" si="26"/>
        <v>4.2706206052796708E-2</v>
      </c>
      <c r="BK19" s="154">
        <f t="shared" si="27"/>
        <v>3.4192945475017465E-2</v>
      </c>
      <c r="BL19" s="154">
        <f t="shared" si="28"/>
        <v>5.9066621240596584E-2</v>
      </c>
      <c r="BM19" s="145">
        <f t="shared" si="29"/>
        <v>-0.87097387735713006</v>
      </c>
    </row>
    <row r="20" spans="1:65" ht="18" customHeight="1" x14ac:dyDescent="0.25">
      <c r="A20" s="11">
        <v>2010</v>
      </c>
      <c r="B20" s="12" t="s">
        <v>257</v>
      </c>
      <c r="C20" s="25">
        <v>3187716702</v>
      </c>
      <c r="D20" s="26">
        <f t="shared" si="34"/>
        <v>116106592</v>
      </c>
      <c r="E20" s="27">
        <f t="shared" si="35"/>
        <v>281530716</v>
      </c>
      <c r="F20" s="29">
        <v>10479010</v>
      </c>
      <c r="G20" s="26">
        <v>9067850</v>
      </c>
      <c r="H20" s="28">
        <v>8621883</v>
      </c>
      <c r="I20" s="26">
        <v>46852288</v>
      </c>
      <c r="J20" s="26">
        <v>41085561</v>
      </c>
      <c r="K20" s="30">
        <f t="shared" si="36"/>
        <v>116106592</v>
      </c>
      <c r="L20" s="31">
        <v>448792732</v>
      </c>
      <c r="M20" s="32">
        <v>50057624</v>
      </c>
      <c r="N20" s="26">
        <v>12286404</v>
      </c>
      <c r="O20" s="26">
        <v>7636786</v>
      </c>
      <c r="P20" s="26">
        <v>94311080</v>
      </c>
      <c r="Q20" s="26">
        <v>117238822</v>
      </c>
      <c r="R20" s="27">
        <f t="shared" si="37"/>
        <v>281530716</v>
      </c>
      <c r="S20" s="28">
        <f>Q20*'Order 30 Components'!AG8</f>
        <v>40988951.359769419</v>
      </c>
      <c r="T20" s="28">
        <f t="shared" si="30"/>
        <v>76249870.640230581</v>
      </c>
      <c r="U20" s="28">
        <f>R20*'Order 30 Components'!AG8</f>
        <v>98428563.402019322</v>
      </c>
      <c r="V20" s="143">
        <f t="shared" si="31"/>
        <v>183102152.59798068</v>
      </c>
      <c r="W20" s="154">
        <f t="shared" si="4"/>
        <v>3.6423121266439318E-2</v>
      </c>
      <c r="X20" s="154">
        <f t="shared" si="5"/>
        <v>8.8317357631989474E-2</v>
      </c>
      <c r="Y20" s="154">
        <f t="shared" si="6"/>
        <v>3.0877450100965504E-2</v>
      </c>
      <c r="Z20" s="154">
        <f t="shared" si="7"/>
        <v>5.7439907531023966E-2</v>
      </c>
      <c r="AA20" s="144">
        <v>9.6</v>
      </c>
      <c r="AB20" s="144">
        <v>1.4515</v>
      </c>
      <c r="AC20" s="144">
        <v>1.0432999999999999</v>
      </c>
      <c r="AD20" s="144">
        <v>1.5417000000000001</v>
      </c>
      <c r="AE20" s="144">
        <v>1.5347</v>
      </c>
      <c r="AF20" s="144">
        <v>2.1311</v>
      </c>
      <c r="AG20" s="144">
        <v>0.18229999999999999</v>
      </c>
      <c r="AH20" s="144">
        <v>0.86880000000000002</v>
      </c>
      <c r="AI20" s="145">
        <f t="shared" si="8"/>
        <v>63099917.191</v>
      </c>
      <c r="AJ20" s="145">
        <f t="shared" si="9"/>
        <v>10033788.510199999</v>
      </c>
      <c r="AK20" s="145">
        <f t="shared" si="10"/>
        <v>48058125.493100002</v>
      </c>
      <c r="AL20" s="152">
        <f t="shared" si="11"/>
        <v>164305916.12721863</v>
      </c>
      <c r="AM20" s="145">
        <f t="shared" si="12"/>
        <v>153841672.69760001</v>
      </c>
      <c r="AN20" s="145">
        <f t="shared" si="13"/>
        <v>439339420.01911867</v>
      </c>
      <c r="AO20" s="169">
        <v>3307254.2900000005</v>
      </c>
      <c r="AP20" s="159">
        <v>607583.98</v>
      </c>
      <c r="AQ20" s="149">
        <v>11852925.210000001</v>
      </c>
      <c r="AR20" s="149">
        <v>750000</v>
      </c>
      <c r="AS20" s="145">
        <f t="shared" si="32"/>
        <v>16517763.48</v>
      </c>
      <c r="AT20" s="145">
        <f t="shared" si="14"/>
        <v>422821656.53911865</v>
      </c>
      <c r="AU20" s="145">
        <f t="shared" si="15"/>
        <v>421329420.62705529</v>
      </c>
      <c r="AV20" s="145">
        <f t="shared" si="33"/>
        <v>1492235.9120633602</v>
      </c>
      <c r="AW20" s="149">
        <f t="shared" si="16"/>
        <v>4.6812061784760203E-2</v>
      </c>
      <c r="AX20" s="133">
        <v>0.44</v>
      </c>
      <c r="AY20" s="150">
        <v>0.5</v>
      </c>
      <c r="AZ20" s="133">
        <v>7.0000000000000007E-2</v>
      </c>
      <c r="BA20" s="145">
        <f t="shared" si="17"/>
        <v>656583.80130787846</v>
      </c>
      <c r="BB20" s="145">
        <f t="shared" si="18"/>
        <v>746117.95603168011</v>
      </c>
      <c r="BC20" s="145">
        <f t="shared" si="19"/>
        <v>104456.51384443522</v>
      </c>
      <c r="BD20" s="145">
        <f t="shared" si="20"/>
        <v>5.6550088155879943E-3</v>
      </c>
      <c r="BE20" s="145">
        <f t="shared" si="21"/>
        <v>7.5802991554824728E-3</v>
      </c>
      <c r="BF20" s="145">
        <f t="shared" si="22"/>
        <v>5.7048217272344186E-4</v>
      </c>
      <c r="BG20" s="145">
        <f t="shared" si="23"/>
        <v>1.540355008815588</v>
      </c>
      <c r="BH20" s="145">
        <f t="shared" si="24"/>
        <v>2.1386802991554825</v>
      </c>
      <c r="BI20" s="145">
        <f t="shared" si="25"/>
        <v>0.18287048217272342</v>
      </c>
      <c r="BJ20" s="154">
        <f t="shared" si="26"/>
        <v>4.2223121266439317E-2</v>
      </c>
      <c r="BK20" s="154">
        <f t="shared" si="27"/>
        <v>3.4077450100965502E-2</v>
      </c>
      <c r="BL20" s="154">
        <f t="shared" si="28"/>
        <v>5.9239907531023969E-2</v>
      </c>
      <c r="BM20" s="145">
        <f t="shared" si="29"/>
        <v>5.308847003649346E-2</v>
      </c>
    </row>
    <row r="21" spans="1:65" ht="18" customHeight="1" x14ac:dyDescent="0.25">
      <c r="A21" s="11">
        <v>2010</v>
      </c>
      <c r="B21" s="12" t="s">
        <v>258</v>
      </c>
      <c r="C21" s="25">
        <v>3147220623</v>
      </c>
      <c r="D21" s="26">
        <f t="shared" si="34"/>
        <v>113048268</v>
      </c>
      <c r="E21" s="27">
        <f t="shared" si="35"/>
        <v>278058127</v>
      </c>
      <c r="F21" s="29">
        <v>10178097</v>
      </c>
      <c r="G21" s="26">
        <v>9243823</v>
      </c>
      <c r="H21" s="28">
        <v>10295707</v>
      </c>
      <c r="I21" s="26">
        <v>43516373</v>
      </c>
      <c r="J21" s="26">
        <v>39814268</v>
      </c>
      <c r="K21" s="30">
        <f t="shared" si="36"/>
        <v>113048268</v>
      </c>
      <c r="L21" s="31">
        <v>436794689</v>
      </c>
      <c r="M21" s="32">
        <v>48567474</v>
      </c>
      <c r="N21" s="26">
        <v>11150240</v>
      </c>
      <c r="O21" s="26">
        <v>7856801</v>
      </c>
      <c r="P21" s="26">
        <v>97543190</v>
      </c>
      <c r="Q21" s="26">
        <v>112940422</v>
      </c>
      <c r="R21" s="27">
        <f t="shared" si="37"/>
        <v>278058127</v>
      </c>
      <c r="S21" s="28">
        <f>Q21*'Order 30 Components'!AG9</f>
        <v>39248935.408643372</v>
      </c>
      <c r="T21" s="28">
        <f t="shared" si="30"/>
        <v>73691486.591356635</v>
      </c>
      <c r="U21" s="28">
        <f>R21*'Order 30 Components'!AG9</f>
        <v>96630464.74601765</v>
      </c>
      <c r="V21" s="143">
        <f t="shared" si="31"/>
        <v>181427662.25398237</v>
      </c>
      <c r="W21" s="154">
        <f t="shared" si="4"/>
        <v>3.5920032797776946E-2</v>
      </c>
      <c r="X21" s="154">
        <f t="shared" si="5"/>
        <v>8.8350376509336956E-2</v>
      </c>
      <c r="Y21" s="154">
        <f t="shared" si="6"/>
        <v>3.0703428936579402E-2</v>
      </c>
      <c r="Z21" s="154">
        <f t="shared" si="7"/>
        <v>5.7646947572757554E-2</v>
      </c>
      <c r="AA21" s="144">
        <v>8.19</v>
      </c>
      <c r="AB21" s="144">
        <v>1.5179</v>
      </c>
      <c r="AC21" s="144">
        <v>0.94669999999999999</v>
      </c>
      <c r="AD21" s="144">
        <v>1.5883</v>
      </c>
      <c r="AE21" s="144">
        <v>1.5812999999999999</v>
      </c>
      <c r="AF21" s="144">
        <v>2.1448999999999998</v>
      </c>
      <c r="AG21" s="144">
        <v>0.17019999999999999</v>
      </c>
      <c r="AH21" s="144">
        <v>0.94350000000000001</v>
      </c>
      <c r="AI21" s="145">
        <f t="shared" si="8"/>
        <v>55200494.586000003</v>
      </c>
      <c r="AJ21" s="145">
        <f t="shared" si="9"/>
        <v>9762143.1219999995</v>
      </c>
      <c r="AK21" s="145">
        <f t="shared" si="10"/>
        <v>49028601.213699996</v>
      </c>
      <c r="AL21" s="152">
        <f t="shared" si="11"/>
        <v>159685634.56424806</v>
      </c>
      <c r="AM21" s="145">
        <f t="shared" si="12"/>
        <v>160844440.3899</v>
      </c>
      <c r="AN21" s="145">
        <f t="shared" si="13"/>
        <v>434521313.87584805</v>
      </c>
      <c r="AO21" s="169">
        <v>3254257.4200000004</v>
      </c>
      <c r="AP21" s="159">
        <v>551385.68000000005</v>
      </c>
      <c r="AQ21" s="149">
        <v>11471801.809999999</v>
      </c>
      <c r="AR21" s="149">
        <v>750000</v>
      </c>
      <c r="AS21" s="145">
        <f t="shared" si="32"/>
        <v>16027444.91</v>
      </c>
      <c r="AT21" s="145">
        <f t="shared" si="14"/>
        <v>418493868.96584803</v>
      </c>
      <c r="AU21" s="145">
        <f t="shared" si="15"/>
        <v>416904898.137761</v>
      </c>
      <c r="AV21" s="145">
        <f t="shared" si="33"/>
        <v>1588970.8280870318</v>
      </c>
      <c r="AW21" s="149">
        <f t="shared" si="16"/>
        <v>5.0488066088369421E-2</v>
      </c>
      <c r="AX21" s="133">
        <v>0.44</v>
      </c>
      <c r="AY21" s="150">
        <v>0.5</v>
      </c>
      <c r="AZ21" s="133">
        <v>7.0000000000000007E-2</v>
      </c>
      <c r="BA21" s="145">
        <f t="shared" si="17"/>
        <v>699147.16435829399</v>
      </c>
      <c r="BB21" s="145">
        <f t="shared" si="18"/>
        <v>794485.41404351592</v>
      </c>
      <c r="BC21" s="145">
        <f t="shared" si="19"/>
        <v>111227.95796609225</v>
      </c>
      <c r="BD21" s="145">
        <f t="shared" si="20"/>
        <v>6.1845013349368077E-3</v>
      </c>
      <c r="BE21" s="145">
        <f t="shared" si="21"/>
        <v>8.2218937488475492E-3</v>
      </c>
      <c r="BF21" s="145">
        <f t="shared" si="22"/>
        <v>6.1307055707074669E-4</v>
      </c>
      <c r="BG21" s="145">
        <f t="shared" si="23"/>
        <v>1.5874845013349368</v>
      </c>
      <c r="BH21" s="145">
        <f t="shared" si="24"/>
        <v>2.1531218937488474</v>
      </c>
      <c r="BI21" s="145">
        <f t="shared" si="25"/>
        <v>0.17081307055707073</v>
      </c>
      <c r="BJ21" s="154">
        <f t="shared" si="26"/>
        <v>4.1720032797776946E-2</v>
      </c>
      <c r="BK21" s="154">
        <f t="shared" si="27"/>
        <v>3.3903428936579404E-2</v>
      </c>
      <c r="BL21" s="154">
        <f t="shared" si="28"/>
        <v>5.9446947572757557E-2</v>
      </c>
      <c r="BM21" s="145">
        <f t="shared" si="29"/>
        <v>5.7321316223420418E-2</v>
      </c>
    </row>
    <row r="22" spans="1:65" ht="18" customHeight="1" x14ac:dyDescent="0.25">
      <c r="A22" s="11">
        <v>2010</v>
      </c>
      <c r="B22" s="12" t="s">
        <v>6</v>
      </c>
      <c r="C22" s="25">
        <v>3246132950</v>
      </c>
      <c r="D22" s="26">
        <f t="shared" si="34"/>
        <v>115541804</v>
      </c>
      <c r="E22" s="27">
        <f t="shared" si="35"/>
        <v>287001420</v>
      </c>
      <c r="F22" s="29">
        <v>9795337</v>
      </c>
      <c r="G22" s="26">
        <v>10208503</v>
      </c>
      <c r="H22" s="28">
        <v>10170577</v>
      </c>
      <c r="I22" s="26">
        <v>44402161</v>
      </c>
      <c r="J22" s="26">
        <v>40965226</v>
      </c>
      <c r="K22" s="30">
        <f t="shared" si="36"/>
        <v>115541804</v>
      </c>
      <c r="L22" s="31">
        <v>431271572</v>
      </c>
      <c r="M22" s="32">
        <v>47758547</v>
      </c>
      <c r="N22" s="26">
        <v>11903917</v>
      </c>
      <c r="O22" s="26">
        <v>7958711</v>
      </c>
      <c r="P22" s="26">
        <v>102468377</v>
      </c>
      <c r="Q22" s="26">
        <v>116911868</v>
      </c>
      <c r="R22" s="27">
        <f t="shared" si="37"/>
        <v>287001420</v>
      </c>
      <c r="S22" s="28">
        <f>Q22*'Order 30 Components'!AG10</f>
        <v>40374586.198551632</v>
      </c>
      <c r="T22" s="28">
        <f t="shared" si="30"/>
        <v>76537281.801448375</v>
      </c>
      <c r="U22" s="28">
        <f>R22*'Order 30 Components'!AG10</f>
        <v>99113663.729132444</v>
      </c>
      <c r="V22" s="143">
        <f t="shared" si="31"/>
        <v>187887756.27086756</v>
      </c>
      <c r="W22" s="154">
        <f t="shared" si="4"/>
        <v>3.5593675853602978E-2</v>
      </c>
      <c r="X22" s="154">
        <f t="shared" si="5"/>
        <v>8.8413328850255504E-2</v>
      </c>
      <c r="Y22" s="154">
        <f t="shared" si="6"/>
        <v>3.0532841770739071E-2</v>
      </c>
      <c r="Z22" s="154">
        <f t="shared" si="7"/>
        <v>5.7880487079516429E-2</v>
      </c>
      <c r="AA22" s="144">
        <v>8.5299999999999994</v>
      </c>
      <c r="AB22" s="144">
        <v>1.5920000000000001</v>
      </c>
      <c r="AC22" s="144">
        <v>1.0256000000000001</v>
      </c>
      <c r="AD22" s="144">
        <v>1.7128000000000001</v>
      </c>
      <c r="AE22" s="144">
        <v>1.7058</v>
      </c>
      <c r="AF22" s="144">
        <v>2.1522999999999999</v>
      </c>
      <c r="AG22" s="144">
        <v>0.1704</v>
      </c>
      <c r="AH22" s="144">
        <v>1.0733999999999999</v>
      </c>
      <c r="AI22" s="145">
        <f t="shared" si="8"/>
        <v>56455445.654699996</v>
      </c>
      <c r="AJ22" s="145">
        <f t="shared" si="9"/>
        <v>9629861.4831999987</v>
      </c>
      <c r="AK22" s="145">
        <f t="shared" si="10"/>
        <v>55276399.500799999</v>
      </c>
      <c r="AL22" s="152">
        <f t="shared" si="11"/>
        <v>169818657.2049095</v>
      </c>
      <c r="AM22" s="145">
        <f t="shared" si="12"/>
        <v>185730762.1056</v>
      </c>
      <c r="AN22" s="145">
        <f t="shared" si="13"/>
        <v>476911125.94920951</v>
      </c>
      <c r="AO22" s="169">
        <v>3361679.19</v>
      </c>
      <c r="AP22" s="159">
        <v>562856.49</v>
      </c>
      <c r="AQ22" s="149">
        <v>11852922.360000001</v>
      </c>
      <c r="AR22" s="149">
        <v>750000</v>
      </c>
      <c r="AS22" s="145">
        <f t="shared" si="32"/>
        <v>16527458.040000001</v>
      </c>
      <c r="AT22" s="145">
        <f t="shared" si="14"/>
        <v>460383667.90920949</v>
      </c>
      <c r="AU22" s="145">
        <f t="shared" si="15"/>
        <v>442429621.37596762</v>
      </c>
      <c r="AV22" s="145">
        <f t="shared" si="33"/>
        <v>17954046.533241868</v>
      </c>
      <c r="AW22" s="149">
        <f t="shared" si="16"/>
        <v>0.55309030190035402</v>
      </c>
      <c r="AX22" s="133">
        <v>0.44</v>
      </c>
      <c r="AY22" s="150">
        <v>0.5</v>
      </c>
      <c r="AZ22" s="133">
        <v>7.0000000000000007E-2</v>
      </c>
      <c r="BA22" s="145">
        <f t="shared" si="17"/>
        <v>7899780.4746264219</v>
      </c>
      <c r="BB22" s="145">
        <f t="shared" si="18"/>
        <v>8977023.266620934</v>
      </c>
      <c r="BC22" s="145">
        <f t="shared" si="19"/>
        <v>1256783.257326931</v>
      </c>
      <c r="BD22" s="145">
        <f t="shared" si="20"/>
        <v>6.8371621362484716E-2</v>
      </c>
      <c r="BE22" s="145">
        <f t="shared" si="21"/>
        <v>9.0573014142169395E-2</v>
      </c>
      <c r="BF22" s="145">
        <f t="shared" si="22"/>
        <v>6.6890109407400393E-3</v>
      </c>
      <c r="BG22" s="145">
        <f t="shared" si="23"/>
        <v>1.7741716213624847</v>
      </c>
      <c r="BH22" s="145">
        <f t="shared" si="24"/>
        <v>2.2428730141421691</v>
      </c>
      <c r="BI22" s="145">
        <f t="shared" si="25"/>
        <v>0.17708901094074003</v>
      </c>
      <c r="BJ22" s="154">
        <f t="shared" si="26"/>
        <v>4.1393675853602978E-2</v>
      </c>
      <c r="BK22" s="154">
        <f t="shared" si="27"/>
        <v>3.3732841770739069E-2</v>
      </c>
      <c r="BL22" s="154">
        <f t="shared" si="28"/>
        <v>5.9680487079516432E-2</v>
      </c>
      <c r="BM22" s="145">
        <f t="shared" si="29"/>
        <v>0.62846413180442617</v>
      </c>
    </row>
    <row r="23" spans="1:65" ht="18" customHeight="1" x14ac:dyDescent="0.25">
      <c r="A23" s="11">
        <v>2010</v>
      </c>
      <c r="B23" s="12" t="s">
        <v>7</v>
      </c>
      <c r="C23" s="25">
        <v>3111048789</v>
      </c>
      <c r="D23" s="26">
        <f t="shared" si="34"/>
        <v>109269621</v>
      </c>
      <c r="E23" s="27">
        <f t="shared" si="35"/>
        <v>274063899</v>
      </c>
      <c r="F23" s="29">
        <v>9507392</v>
      </c>
      <c r="G23" s="26">
        <v>9931561</v>
      </c>
      <c r="H23" s="28">
        <v>10066693</v>
      </c>
      <c r="I23" s="26">
        <v>39629191</v>
      </c>
      <c r="J23" s="26">
        <v>40134784</v>
      </c>
      <c r="K23" s="30">
        <f t="shared" si="36"/>
        <v>109269621</v>
      </c>
      <c r="L23" s="31">
        <v>400548373</v>
      </c>
      <c r="M23" s="32">
        <v>44453841</v>
      </c>
      <c r="N23" s="26">
        <v>11785799</v>
      </c>
      <c r="O23" s="26">
        <v>8124302</v>
      </c>
      <c r="P23" s="26">
        <v>94259220</v>
      </c>
      <c r="Q23" s="26">
        <v>115440737</v>
      </c>
      <c r="R23" s="27">
        <f t="shared" si="37"/>
        <v>274063899</v>
      </c>
      <c r="S23" s="28">
        <f>Q23*'Order 30 Components'!AG11</f>
        <v>39461142.75846412</v>
      </c>
      <c r="T23" s="28">
        <f t="shared" si="30"/>
        <v>75979594.241535872</v>
      </c>
      <c r="U23" s="28">
        <f>R23*'Order 30 Components'!AG11</f>
        <v>93683347.182548672</v>
      </c>
      <c r="V23" s="143">
        <f t="shared" si="31"/>
        <v>180380551.81745133</v>
      </c>
      <c r="W23" s="154">
        <f t="shared" si="4"/>
        <v>3.5123081767908591E-2</v>
      </c>
      <c r="X23" s="154">
        <f t="shared" si="5"/>
        <v>8.8093732238797101E-2</v>
      </c>
      <c r="Y23" s="154">
        <f t="shared" si="6"/>
        <v>3.0113107680532963E-2</v>
      </c>
      <c r="Z23" s="154">
        <f t="shared" si="7"/>
        <v>5.7980624558264145E-2</v>
      </c>
      <c r="AA23" s="144">
        <v>9.61</v>
      </c>
      <c r="AB23" s="144">
        <v>1.7155</v>
      </c>
      <c r="AC23" s="144">
        <v>1.1456</v>
      </c>
      <c r="AD23" s="144">
        <v>1.7303999999999999</v>
      </c>
      <c r="AE23" s="144">
        <v>1.7234</v>
      </c>
      <c r="AF23" s="144">
        <v>2.2040000000000002</v>
      </c>
      <c r="AG23" s="144">
        <v>0.17480000000000001</v>
      </c>
      <c r="AH23" s="144">
        <v>1.0843</v>
      </c>
      <c r="AI23" s="145">
        <f t="shared" si="8"/>
        <v>59074643.741399989</v>
      </c>
      <c r="AJ23" s="145">
        <f t="shared" si="9"/>
        <v>8953839.2381999996</v>
      </c>
      <c r="AK23" s="145">
        <f t="shared" si="10"/>
        <v>57413990.42719999</v>
      </c>
      <c r="AL23" s="152">
        <f t="shared" si="11"/>
        <v>169421878.45867538</v>
      </c>
      <c r="AM23" s="145">
        <f t="shared" si="12"/>
        <v>170502220.01539999</v>
      </c>
      <c r="AN23" s="145">
        <f t="shared" si="13"/>
        <v>465366571.88087535</v>
      </c>
      <c r="AO23" s="169">
        <v>3140987.0399999996</v>
      </c>
      <c r="AP23" s="159">
        <v>528937.53</v>
      </c>
      <c r="AQ23" s="149">
        <v>11474147.15</v>
      </c>
      <c r="AR23" s="149">
        <v>750000</v>
      </c>
      <c r="AS23" s="145">
        <f t="shared" si="32"/>
        <v>15894071.719999999</v>
      </c>
      <c r="AT23" s="145">
        <f t="shared" si="14"/>
        <v>449472500.16087532</v>
      </c>
      <c r="AU23" s="145">
        <f t="shared" si="15"/>
        <v>426323882.47942781</v>
      </c>
      <c r="AV23" s="145">
        <f t="shared" si="33"/>
        <v>23148617.681447506</v>
      </c>
      <c r="AW23" s="149">
        <f t="shared" si="16"/>
        <v>0.74407761663192307</v>
      </c>
      <c r="AX23" s="133">
        <v>0.44</v>
      </c>
      <c r="AY23" s="150">
        <v>0.5</v>
      </c>
      <c r="AZ23" s="133">
        <v>7.0000000000000007E-2</v>
      </c>
      <c r="BA23" s="145">
        <f t="shared" si="17"/>
        <v>10185391.779836902</v>
      </c>
      <c r="BB23" s="145">
        <f t="shared" si="18"/>
        <v>11574308.840723753</v>
      </c>
      <c r="BC23" s="145">
        <f t="shared" si="19"/>
        <v>1620403.2377013257</v>
      </c>
      <c r="BD23" s="145">
        <f t="shared" si="20"/>
        <v>9.3213389839037722E-2</v>
      </c>
      <c r="BE23" s="145">
        <f t="shared" si="21"/>
        <v>0.12354713178821833</v>
      </c>
      <c r="BF23" s="145">
        <f t="shared" si="22"/>
        <v>8.9832480351939806E-3</v>
      </c>
      <c r="BG23" s="145">
        <f t="shared" si="23"/>
        <v>1.8166133898390378</v>
      </c>
      <c r="BH23" s="145">
        <f t="shared" si="24"/>
        <v>2.3275471317882186</v>
      </c>
      <c r="BI23" s="145">
        <f t="shared" si="25"/>
        <v>0.183783248035194</v>
      </c>
      <c r="BJ23" s="154">
        <f t="shared" si="26"/>
        <v>4.0923081767908591E-2</v>
      </c>
      <c r="BK23" s="154">
        <f t="shared" si="27"/>
        <v>3.3313107680532965E-2</v>
      </c>
      <c r="BL23" s="154">
        <f t="shared" si="28"/>
        <v>5.9780624558264148E-2</v>
      </c>
      <c r="BM23" s="145">
        <f t="shared" si="29"/>
        <v>0.84673422572344903</v>
      </c>
    </row>
    <row r="24" spans="1:65" ht="18" customHeight="1" x14ac:dyDescent="0.25">
      <c r="A24" s="11">
        <v>2010</v>
      </c>
      <c r="B24" s="12" t="s">
        <v>8</v>
      </c>
      <c r="C24" s="25">
        <v>3116549437</v>
      </c>
      <c r="D24" s="26">
        <f t="shared" si="34"/>
        <v>108665627</v>
      </c>
      <c r="E24" s="27">
        <f t="shared" si="35"/>
        <v>273215494</v>
      </c>
      <c r="F24" s="29">
        <v>9705311</v>
      </c>
      <c r="G24" s="26">
        <v>9227992</v>
      </c>
      <c r="H24" s="28">
        <v>8876550</v>
      </c>
      <c r="I24" s="26">
        <v>38988318</v>
      </c>
      <c r="J24" s="26">
        <v>41867456</v>
      </c>
      <c r="K24" s="30">
        <f t="shared" si="36"/>
        <v>108665627</v>
      </c>
      <c r="L24" s="31">
        <v>401244326</v>
      </c>
      <c r="M24" s="32">
        <v>44539591</v>
      </c>
      <c r="N24" s="26">
        <v>11616330</v>
      </c>
      <c r="O24" s="26">
        <v>7400713</v>
      </c>
      <c r="P24" s="26">
        <v>88600137</v>
      </c>
      <c r="Q24" s="26">
        <v>121058723</v>
      </c>
      <c r="R24" s="27">
        <f t="shared" si="37"/>
        <v>273215494</v>
      </c>
      <c r="S24" s="28">
        <f>Q24*'Order 30 Components'!AG12</f>
        <v>41093887.867035441</v>
      </c>
      <c r="T24" s="28">
        <f t="shared" si="30"/>
        <v>79964835.132964551</v>
      </c>
      <c r="U24" s="28">
        <f>R24*'Order 30 Components'!AG12</f>
        <v>92744137.685746893</v>
      </c>
      <c r="V24" s="143">
        <f t="shared" si="31"/>
        <v>180471356.31425309</v>
      </c>
      <c r="W24" s="154">
        <f t="shared" si="4"/>
        <v>3.486728806862819E-2</v>
      </c>
      <c r="X24" s="154">
        <f t="shared" si="5"/>
        <v>8.7666022799560678E-2</v>
      </c>
      <c r="Y24" s="154">
        <f t="shared" si="6"/>
        <v>2.9758596666133005E-2</v>
      </c>
      <c r="Z24" s="154">
        <f t="shared" si="7"/>
        <v>5.790742613342767E-2</v>
      </c>
      <c r="AA24" s="144">
        <v>10.119999999999999</v>
      </c>
      <c r="AB24" s="144">
        <v>1.6839</v>
      </c>
      <c r="AC24" s="144">
        <v>1.2021999999999999</v>
      </c>
      <c r="AD24" s="144">
        <v>1.9034</v>
      </c>
      <c r="AE24" s="144">
        <v>1.8964000000000001</v>
      </c>
      <c r="AF24" s="144">
        <v>2.0514999999999999</v>
      </c>
      <c r="AG24" s="144">
        <v>0.17</v>
      </c>
      <c r="AH24" s="144">
        <v>1.0492999999999999</v>
      </c>
      <c r="AI24" s="145">
        <f t="shared" si="8"/>
        <v>61456105.5933</v>
      </c>
      <c r="AJ24" s="145">
        <f t="shared" si="9"/>
        <v>8973137.7916000001</v>
      </c>
      <c r="AK24" s="145">
        <f t="shared" si="10"/>
        <v>57322474.337399997</v>
      </c>
      <c r="AL24" s="152">
        <f t="shared" si="11"/>
        <v>177295576.49022716</v>
      </c>
      <c r="AM24" s="145">
        <f t="shared" si="12"/>
        <v>166905570.00929999</v>
      </c>
      <c r="AN24" s="145">
        <f t="shared" si="13"/>
        <v>471952864.22182715</v>
      </c>
      <c r="AO24" s="169">
        <v>3115540.23</v>
      </c>
      <c r="AP24" s="159">
        <v>555561.98</v>
      </c>
      <c r="AQ24" s="149">
        <v>11859138.619999999</v>
      </c>
      <c r="AR24" s="149">
        <v>750000</v>
      </c>
      <c r="AS24" s="145">
        <f t="shared" si="32"/>
        <v>16280240.829999998</v>
      </c>
      <c r="AT24" s="145">
        <f t="shared" si="14"/>
        <v>455672623.39182717</v>
      </c>
      <c r="AU24" s="145">
        <f t="shared" si="15"/>
        <v>427018224.07853281</v>
      </c>
      <c r="AV24" s="145">
        <f t="shared" si="33"/>
        <v>28654399.313294351</v>
      </c>
      <c r="AW24" s="149">
        <f t="shared" si="16"/>
        <v>0.91942707447879157</v>
      </c>
      <c r="AX24" s="133">
        <v>0.44</v>
      </c>
      <c r="AY24" s="150">
        <v>0.5</v>
      </c>
      <c r="AZ24" s="133">
        <v>7.0000000000000007E-2</v>
      </c>
      <c r="BA24" s="145">
        <f t="shared" si="17"/>
        <v>12607935.697849514</v>
      </c>
      <c r="BB24" s="145">
        <f t="shared" si="18"/>
        <v>14327199.656647176</v>
      </c>
      <c r="BC24" s="145">
        <f t="shared" si="19"/>
        <v>2005807.9519306049</v>
      </c>
      <c r="BD24" s="145">
        <f t="shared" si="20"/>
        <v>0.11602505820768433</v>
      </c>
      <c r="BE24" s="145">
        <f t="shared" si="21"/>
        <v>0.15448091937835773</v>
      </c>
      <c r="BF24" s="145">
        <f t="shared" si="22"/>
        <v>1.1114273161652923E-2</v>
      </c>
      <c r="BG24" s="145">
        <f t="shared" si="23"/>
        <v>2.0124250582076844</v>
      </c>
      <c r="BH24" s="145">
        <f t="shared" si="24"/>
        <v>2.2059809193783577</v>
      </c>
      <c r="BI24" s="145">
        <f t="shared" si="25"/>
        <v>0.18111427316165293</v>
      </c>
      <c r="BJ24" s="154">
        <f t="shared" si="26"/>
        <v>4.0667288068628189E-2</v>
      </c>
      <c r="BK24" s="154">
        <f t="shared" si="27"/>
        <v>3.2958596666133003E-2</v>
      </c>
      <c r="BL24" s="154">
        <f t="shared" si="28"/>
        <v>5.9707426133427673E-2</v>
      </c>
      <c r="BM24" s="145">
        <f t="shared" si="29"/>
        <v>1.0473503423542083</v>
      </c>
    </row>
    <row r="25" spans="1:65" ht="18" customHeight="1" x14ac:dyDescent="0.25">
      <c r="A25" s="11">
        <v>2010</v>
      </c>
      <c r="B25" s="12" t="s">
        <v>259</v>
      </c>
      <c r="C25" s="25">
        <v>3119948369</v>
      </c>
      <c r="D25" s="26">
        <f t="shared" si="34"/>
        <v>110194298</v>
      </c>
      <c r="E25" s="27">
        <f t="shared" si="35"/>
        <v>274337679</v>
      </c>
      <c r="F25" s="29">
        <v>10315849</v>
      </c>
      <c r="G25" s="26">
        <v>9738172</v>
      </c>
      <c r="H25" s="28">
        <v>10751610</v>
      </c>
      <c r="I25" s="26">
        <v>35969426</v>
      </c>
      <c r="J25" s="26">
        <v>43419241</v>
      </c>
      <c r="K25" s="30">
        <f t="shared" si="36"/>
        <v>110194298</v>
      </c>
      <c r="L25" s="31">
        <v>429397776</v>
      </c>
      <c r="M25" s="32">
        <v>47561180</v>
      </c>
      <c r="N25" s="26">
        <v>11804553</v>
      </c>
      <c r="O25" s="26">
        <v>7936652</v>
      </c>
      <c r="P25" s="26">
        <v>83939648</v>
      </c>
      <c r="Q25" s="26">
        <v>123095646</v>
      </c>
      <c r="R25" s="27">
        <f t="shared" si="37"/>
        <v>274337679</v>
      </c>
      <c r="S25" s="28">
        <f>Q25*'Order 30 Components'!AG13</f>
        <v>42103450.569772623</v>
      </c>
      <c r="T25" s="28">
        <f t="shared" si="30"/>
        <v>80992195.430227369</v>
      </c>
      <c r="U25" s="28">
        <f>R25*'Order 30 Components'!AG13</f>
        <v>93834049.23357442</v>
      </c>
      <c r="V25" s="143">
        <f t="shared" si="31"/>
        <v>180503629.76642558</v>
      </c>
      <c r="W25" s="154">
        <f t="shared" si="4"/>
        <v>3.5319269733722958E-2</v>
      </c>
      <c r="X25" s="154">
        <f t="shared" si="5"/>
        <v>8.7930198373100066E-2</v>
      </c>
      <c r="Y25" s="154">
        <f t="shared" si="6"/>
        <v>3.0075513481541982E-2</v>
      </c>
      <c r="Z25" s="154">
        <f t="shared" si="7"/>
        <v>5.7854684891558081E-2</v>
      </c>
      <c r="AA25" s="144">
        <v>9.49</v>
      </c>
      <c r="AB25" s="144">
        <v>1.8898999999999999</v>
      </c>
      <c r="AC25" s="144">
        <v>1.1322000000000001</v>
      </c>
      <c r="AD25" s="144">
        <v>2.0406</v>
      </c>
      <c r="AE25" s="144">
        <v>2.0335999999999999</v>
      </c>
      <c r="AF25" s="144">
        <v>2.3788</v>
      </c>
      <c r="AG25" s="144">
        <v>0.16470000000000001</v>
      </c>
      <c r="AH25" s="144">
        <v>0.97799999999999998</v>
      </c>
      <c r="AI25" s="145">
        <f t="shared" si="8"/>
        <v>64759327.949500002</v>
      </c>
      <c r="AJ25" s="145">
        <f t="shared" si="9"/>
        <v>9599313.658499999</v>
      </c>
      <c r="AK25" s="145">
        <f t="shared" si="10"/>
        <v>64162441.450200006</v>
      </c>
      <c r="AL25" s="152">
        <f t="shared" si="11"/>
        <v>201792471.30033356</v>
      </c>
      <c r="AM25" s="145">
        <f t="shared" si="12"/>
        <v>155240400.4576</v>
      </c>
      <c r="AN25" s="145">
        <f t="shared" si="13"/>
        <v>495553954.81613356</v>
      </c>
      <c r="AO25" s="169">
        <v>3143073.8</v>
      </c>
      <c r="AP25" s="159">
        <v>546552.03</v>
      </c>
      <c r="AQ25" s="149">
        <v>11854816.670000002</v>
      </c>
      <c r="AR25" s="149">
        <v>750000</v>
      </c>
      <c r="AS25" s="145">
        <f t="shared" si="32"/>
        <v>16294442.500000002</v>
      </c>
      <c r="AT25" s="145">
        <f t="shared" si="14"/>
        <v>479259512.31613356</v>
      </c>
      <c r="AU25" s="145">
        <f t="shared" si="15"/>
        <v>477032508.55215704</v>
      </c>
      <c r="AV25" s="145">
        <f t="shared" si="33"/>
        <v>2227003.7639765143</v>
      </c>
      <c r="AW25" s="149">
        <f t="shared" si="16"/>
        <v>7.1379506984928384E-2</v>
      </c>
      <c r="AX25" s="133">
        <v>0.44</v>
      </c>
      <c r="AY25" s="150">
        <v>0.5</v>
      </c>
      <c r="AZ25" s="133">
        <v>7.0000000000000007E-2</v>
      </c>
      <c r="BA25" s="145">
        <f t="shared" si="17"/>
        <v>979881.65614966629</v>
      </c>
      <c r="BB25" s="145">
        <f t="shared" si="18"/>
        <v>1113501.8819882572</v>
      </c>
      <c r="BC25" s="145">
        <f t="shared" si="19"/>
        <v>155890.26347835601</v>
      </c>
      <c r="BD25" s="145">
        <f t="shared" si="20"/>
        <v>8.8923081677934578E-3</v>
      </c>
      <c r="BE25" s="145">
        <f t="shared" si="21"/>
        <v>1.1866714599691805E-2</v>
      </c>
      <c r="BF25" s="145">
        <f t="shared" si="22"/>
        <v>8.6364060202047106E-4</v>
      </c>
      <c r="BG25" s="145">
        <f t="shared" si="23"/>
        <v>2.0424923081677933</v>
      </c>
      <c r="BH25" s="145">
        <f t="shared" si="24"/>
        <v>2.3906667145996918</v>
      </c>
      <c r="BI25" s="145">
        <f t="shared" si="25"/>
        <v>0.16556364060202047</v>
      </c>
      <c r="BJ25" s="154">
        <f t="shared" si="26"/>
        <v>4.1119269733722957E-2</v>
      </c>
      <c r="BK25" s="154">
        <f t="shared" si="27"/>
        <v>3.327551348154198E-2</v>
      </c>
      <c r="BL25" s="154">
        <f t="shared" si="28"/>
        <v>5.9654684891558084E-2</v>
      </c>
      <c r="BM25" s="145">
        <f t="shared" si="29"/>
        <v>8.1203644772362943E-2</v>
      </c>
    </row>
    <row r="26" spans="1:65" ht="18" customHeight="1" x14ac:dyDescent="0.25">
      <c r="A26" s="11">
        <v>2010</v>
      </c>
      <c r="B26" s="12" t="s">
        <v>260</v>
      </c>
      <c r="C26" s="25">
        <v>3018207823</v>
      </c>
      <c r="D26" s="26">
        <f t="shared" si="34"/>
        <v>108865893</v>
      </c>
      <c r="E26" s="27">
        <f t="shared" si="35"/>
        <v>266720180</v>
      </c>
      <c r="F26" s="29">
        <v>10265505</v>
      </c>
      <c r="G26" s="26">
        <v>10563458</v>
      </c>
      <c r="H26" s="28">
        <v>9176194</v>
      </c>
      <c r="I26" s="26">
        <v>35847865</v>
      </c>
      <c r="J26" s="26">
        <v>43012871</v>
      </c>
      <c r="K26" s="30">
        <f t="shared" si="36"/>
        <v>108865893</v>
      </c>
      <c r="L26" s="31">
        <v>434147903</v>
      </c>
      <c r="M26" s="32">
        <v>48164990</v>
      </c>
      <c r="N26" s="26">
        <v>12020335</v>
      </c>
      <c r="O26" s="26">
        <v>6790621</v>
      </c>
      <c r="P26" s="26">
        <v>79772717</v>
      </c>
      <c r="Q26" s="26">
        <v>119971517</v>
      </c>
      <c r="R26" s="27">
        <f t="shared" si="37"/>
        <v>266720180</v>
      </c>
      <c r="S26" s="28">
        <f>Q26*'Order 30 Components'!AG14</f>
        <v>41768992.159508333</v>
      </c>
      <c r="T26" s="28">
        <f t="shared" si="30"/>
        <v>78202524.840491667</v>
      </c>
      <c r="U26" s="28">
        <f>R26*'Order 30 Components'!AG14</f>
        <v>92860650.475917965</v>
      </c>
      <c r="V26" s="143">
        <f t="shared" si="31"/>
        <v>173859529.52408203</v>
      </c>
      <c r="W26" s="154">
        <f t="shared" si="4"/>
        <v>3.6069714010545123E-2</v>
      </c>
      <c r="X26" s="154">
        <f t="shared" si="5"/>
        <v>8.8370382571896208E-2</v>
      </c>
      <c r="Y26" s="154">
        <f t="shared" si="6"/>
        <v>3.0766817900437855E-2</v>
      </c>
      <c r="Z26" s="154">
        <f t="shared" si="7"/>
        <v>5.7603564671458357E-2</v>
      </c>
      <c r="AA26" s="144">
        <v>8.7899999999999991</v>
      </c>
      <c r="AB26" s="144">
        <v>2.0047000000000001</v>
      </c>
      <c r="AC26" s="144">
        <v>1.0544</v>
      </c>
      <c r="AD26" s="144">
        <v>2.4114</v>
      </c>
      <c r="AE26" s="144">
        <v>2.4043999999999999</v>
      </c>
      <c r="AF26" s="144">
        <v>2.3056999999999999</v>
      </c>
      <c r="AG26" s="144">
        <v>0.1673</v>
      </c>
      <c r="AH26" s="144">
        <v>0.96079999999999999</v>
      </c>
      <c r="AI26" s="145">
        <f t="shared" si="8"/>
        <v>62974561.168200001</v>
      </c>
      <c r="AJ26" s="145">
        <f t="shared" si="9"/>
        <v>9703794.4406000003</v>
      </c>
      <c r="AK26" s="145">
        <f t="shared" si="10"/>
        <v>67434468.839200005</v>
      </c>
      <c r="AL26" s="152">
        <f t="shared" si="11"/>
        <v>212810194.66039261</v>
      </c>
      <c r="AM26" s="145">
        <f t="shared" si="12"/>
        <v>162838233.09959999</v>
      </c>
      <c r="AN26" s="145">
        <f t="shared" si="13"/>
        <v>515761252.20799255</v>
      </c>
      <c r="AO26" s="169">
        <v>3154370.69</v>
      </c>
      <c r="AP26" s="159">
        <v>534365.32999999996</v>
      </c>
      <c r="AQ26" s="149">
        <v>11470579.49</v>
      </c>
      <c r="AR26" s="149">
        <v>750000</v>
      </c>
      <c r="AS26" s="145">
        <f t="shared" si="32"/>
        <v>15909315.51</v>
      </c>
      <c r="AT26" s="145">
        <f t="shared" si="14"/>
        <v>499851936.69799256</v>
      </c>
      <c r="AU26" s="145">
        <f t="shared" si="15"/>
        <v>504952654.22090298</v>
      </c>
      <c r="AV26" s="145">
        <f t="shared" si="33"/>
        <v>-5100717.5229104161</v>
      </c>
      <c r="AW26" s="149">
        <f t="shared" si="16"/>
        <v>-0.16899822086606578</v>
      </c>
      <c r="AX26" s="133">
        <v>0.44</v>
      </c>
      <c r="AY26" s="150">
        <v>0.5</v>
      </c>
      <c r="AZ26" s="133">
        <v>7.0000000000000007E-2</v>
      </c>
      <c r="BA26" s="145">
        <f t="shared" si="17"/>
        <v>-2244315.7100805831</v>
      </c>
      <c r="BB26" s="145">
        <f t="shared" si="18"/>
        <v>-2550358.7614552081</v>
      </c>
      <c r="BC26" s="145">
        <f t="shared" si="19"/>
        <v>-357050.22660372918</v>
      </c>
      <c r="BD26" s="145">
        <f t="shared" si="20"/>
        <v>-2.0615416346059671E-2</v>
      </c>
      <c r="BE26" s="145">
        <f t="shared" si="21"/>
        <v>-2.7464364597753983E-2</v>
      </c>
      <c r="BF26" s="145">
        <f t="shared" si="22"/>
        <v>-2.0536707282086176E-3</v>
      </c>
      <c r="BG26" s="145">
        <f t="shared" si="23"/>
        <v>2.3837845836539402</v>
      </c>
      <c r="BH26" s="145">
        <f t="shared" si="24"/>
        <v>2.2782356354022459</v>
      </c>
      <c r="BI26" s="145">
        <f t="shared" si="25"/>
        <v>0.16524632927179139</v>
      </c>
      <c r="BJ26" s="154">
        <f t="shared" si="26"/>
        <v>4.1869714010545123E-2</v>
      </c>
      <c r="BK26" s="154">
        <f t="shared" si="27"/>
        <v>3.3966817900437853E-2</v>
      </c>
      <c r="BL26" s="154">
        <f t="shared" si="28"/>
        <v>5.940356467145836E-2</v>
      </c>
      <c r="BM26" s="145">
        <f t="shared" si="29"/>
        <v>-0.19180340195779988</v>
      </c>
    </row>
    <row r="27" spans="1:65" ht="18" customHeight="1" x14ac:dyDescent="0.25">
      <c r="A27" s="11">
        <v>2010</v>
      </c>
      <c r="B27" s="12" t="s">
        <v>261</v>
      </c>
      <c r="C27" s="25">
        <v>3059242820</v>
      </c>
      <c r="D27" s="26">
        <f t="shared" si="34"/>
        <v>111695059</v>
      </c>
      <c r="E27" s="27">
        <f t="shared" si="35"/>
        <v>270736166</v>
      </c>
      <c r="F27" s="29">
        <v>10313629</v>
      </c>
      <c r="G27" s="26">
        <v>10867598</v>
      </c>
      <c r="H27" s="28">
        <v>6800737</v>
      </c>
      <c r="I27" s="26">
        <v>41663706</v>
      </c>
      <c r="J27" s="26">
        <v>42049389</v>
      </c>
      <c r="K27" s="30">
        <f t="shared" si="36"/>
        <v>111695059</v>
      </c>
      <c r="L27" s="31">
        <v>442849429</v>
      </c>
      <c r="M27" s="32">
        <v>49237975</v>
      </c>
      <c r="N27" s="26">
        <v>11183606</v>
      </c>
      <c r="O27" s="26">
        <v>5599264</v>
      </c>
      <c r="P27" s="26">
        <v>85227469</v>
      </c>
      <c r="Q27" s="26">
        <v>119487852</v>
      </c>
      <c r="R27" s="27">
        <f t="shared" si="37"/>
        <v>270736166</v>
      </c>
      <c r="S27" s="28">
        <f>Q27*'Order 30 Components'!AG15</f>
        <v>42295825.634325974</v>
      </c>
      <c r="T27" s="28">
        <f t="shared" si="30"/>
        <v>77192026.365674019</v>
      </c>
      <c r="U27" s="28">
        <f>R27*'Order 30 Components'!AG15</f>
        <v>95834090.900235876</v>
      </c>
      <c r="V27" s="143">
        <f t="shared" si="31"/>
        <v>174902075.09976411</v>
      </c>
      <c r="W27" s="154">
        <f t="shared" si="4"/>
        <v>3.6510687634791934E-2</v>
      </c>
      <c r="X27" s="154">
        <f t="shared" si="5"/>
        <v>8.8497769523244313E-2</v>
      </c>
      <c r="Y27" s="154">
        <f t="shared" si="6"/>
        <v>3.1326081824467882E-2</v>
      </c>
      <c r="Z27" s="154">
        <f t="shared" si="7"/>
        <v>5.7171687698776424E-2</v>
      </c>
      <c r="AA27" s="144">
        <v>8.6199999999999992</v>
      </c>
      <c r="AB27" s="144">
        <v>2.3593999999999999</v>
      </c>
      <c r="AC27" s="144">
        <v>1.0356000000000001</v>
      </c>
      <c r="AD27" s="144">
        <v>2.4506000000000001</v>
      </c>
      <c r="AE27" s="144">
        <v>2.4436</v>
      </c>
      <c r="AF27" s="144">
        <v>2.4739</v>
      </c>
      <c r="AG27" s="144">
        <v>0.1736</v>
      </c>
      <c r="AH27" s="144">
        <v>0.98960000000000004</v>
      </c>
      <c r="AI27" s="145">
        <f t="shared" si="8"/>
        <v>66751910.487399995</v>
      </c>
      <c r="AJ27" s="145">
        <f t="shared" si="9"/>
        <v>9897300.3500999995</v>
      </c>
      <c r="AK27" s="145">
        <f t="shared" si="10"/>
        <v>60678361.923000008</v>
      </c>
      <c r="AL27" s="152">
        <f t="shared" si="11"/>
        <v>220788065.77424002</v>
      </c>
      <c r="AM27" s="145">
        <f t="shared" si="12"/>
        <v>186150535.30400002</v>
      </c>
      <c r="AN27" s="145">
        <f t="shared" si="13"/>
        <v>544266173.83874011</v>
      </c>
      <c r="AO27" s="169">
        <v>3187398.5</v>
      </c>
      <c r="AP27" s="159">
        <v>543122.51</v>
      </c>
      <c r="AQ27" s="149">
        <v>11853369.289999999</v>
      </c>
      <c r="AR27" s="149">
        <v>750000</v>
      </c>
      <c r="AS27" s="145">
        <f t="shared" si="32"/>
        <v>16333890.299999999</v>
      </c>
      <c r="AT27" s="145">
        <f t="shared" si="14"/>
        <v>527932283.5387401</v>
      </c>
      <c r="AU27" s="145">
        <f t="shared" si="15"/>
        <v>540385003.8878125</v>
      </c>
      <c r="AV27" s="145">
        <f t="shared" si="33"/>
        <v>-12452720.349072397</v>
      </c>
      <c r="AW27" s="149">
        <f t="shared" si="16"/>
        <v>-0.40705236824164215</v>
      </c>
      <c r="AX27" s="133">
        <v>0.44</v>
      </c>
      <c r="AY27" s="150">
        <v>0.5</v>
      </c>
      <c r="AZ27" s="133">
        <v>7.0000000000000007E-2</v>
      </c>
      <c r="BA27" s="145">
        <f t="shared" si="17"/>
        <v>-5479196.9535918543</v>
      </c>
      <c r="BB27" s="145">
        <f t="shared" si="18"/>
        <v>-6226360.1745361984</v>
      </c>
      <c r="BC27" s="145">
        <f t="shared" si="19"/>
        <v>-871690.42443506781</v>
      </c>
      <c r="BD27" s="145">
        <f t="shared" si="20"/>
        <v>-4.9054962705126055E-2</v>
      </c>
      <c r="BE27" s="145">
        <f t="shared" si="21"/>
        <v>-6.4970201272299785E-2</v>
      </c>
      <c r="BF27" s="145">
        <f t="shared" si="22"/>
        <v>-4.9838769719447625E-3</v>
      </c>
      <c r="BG27" s="145">
        <f t="shared" si="23"/>
        <v>2.3945450372948738</v>
      </c>
      <c r="BH27" s="145">
        <f t="shared" si="24"/>
        <v>2.4089297987277001</v>
      </c>
      <c r="BI27" s="145">
        <f t="shared" si="25"/>
        <v>0.16861612302805523</v>
      </c>
      <c r="BJ27" s="154">
        <f t="shared" si="26"/>
        <v>4.2310687634791934E-2</v>
      </c>
      <c r="BK27" s="154">
        <f t="shared" si="27"/>
        <v>3.4526081824467883E-2</v>
      </c>
      <c r="BL27" s="154">
        <f t="shared" si="28"/>
        <v>5.8971687698776427E-2</v>
      </c>
      <c r="BM27" s="145">
        <f t="shared" si="29"/>
        <v>-0.46126233255511762</v>
      </c>
    </row>
    <row r="28" spans="1:65" ht="18" customHeight="1" x14ac:dyDescent="0.25">
      <c r="A28" s="11">
        <v>2010</v>
      </c>
      <c r="B28" s="12" t="s">
        <v>262</v>
      </c>
      <c r="C28" s="25">
        <v>2995527263</v>
      </c>
      <c r="D28" s="26">
        <f t="shared" si="34"/>
        <v>112505373</v>
      </c>
      <c r="E28" s="27">
        <f t="shared" si="35"/>
        <v>267270990</v>
      </c>
      <c r="F28" s="29">
        <v>10437759</v>
      </c>
      <c r="G28" s="26">
        <v>10341474</v>
      </c>
      <c r="H28" s="28">
        <v>4945259</v>
      </c>
      <c r="I28" s="26">
        <v>43475298</v>
      </c>
      <c r="J28" s="26">
        <v>43305583</v>
      </c>
      <c r="K28" s="30">
        <f t="shared" si="36"/>
        <v>112505373</v>
      </c>
      <c r="L28" s="31">
        <v>430647754</v>
      </c>
      <c r="M28" s="32">
        <v>47969937</v>
      </c>
      <c r="N28" s="26">
        <v>11594564</v>
      </c>
      <c r="O28" s="26">
        <v>4600265</v>
      </c>
      <c r="P28" s="26">
        <v>85208527</v>
      </c>
      <c r="Q28" s="26">
        <v>117897697</v>
      </c>
      <c r="R28" s="27">
        <f t="shared" si="37"/>
        <v>267270990</v>
      </c>
      <c r="S28" s="28">
        <f>Q28*'Order 30 Components'!AG16</f>
        <v>41920671.933249876</v>
      </c>
      <c r="T28" s="28">
        <f t="shared" si="30"/>
        <v>75977025.066750124</v>
      </c>
      <c r="U28" s="28">
        <f>R28*'Order 30 Components'!AG16</f>
        <v>95033064.887305722</v>
      </c>
      <c r="V28" s="143">
        <f t="shared" si="31"/>
        <v>172237925.11269426</v>
      </c>
      <c r="W28" s="154">
        <f t="shared" si="4"/>
        <v>3.7557786366907119E-2</v>
      </c>
      <c r="X28" s="154">
        <f t="shared" si="5"/>
        <v>8.9223354199196955E-2</v>
      </c>
      <c r="Y28" s="154">
        <f t="shared" si="6"/>
        <v>3.1724987470863733E-2</v>
      </c>
      <c r="Z28" s="154">
        <f t="shared" si="7"/>
        <v>5.7498366728333215E-2</v>
      </c>
      <c r="AA28" s="144">
        <v>8.98</v>
      </c>
      <c r="AB28" s="144">
        <v>2.4495</v>
      </c>
      <c r="AC28" s="144">
        <v>1.0755999999999999</v>
      </c>
      <c r="AD28" s="144">
        <v>2.2492000000000001</v>
      </c>
      <c r="AE28" s="144">
        <v>2.2422</v>
      </c>
      <c r="AF28" s="144">
        <v>2.1981000000000002</v>
      </c>
      <c r="AG28" s="144">
        <v>0.1797</v>
      </c>
      <c r="AH28" s="144">
        <v>1.0172000000000001</v>
      </c>
      <c r="AI28" s="145">
        <f t="shared" si="8"/>
        <v>68547159.322300002</v>
      </c>
      <c r="AJ28" s="145">
        <f t="shared" si="9"/>
        <v>9634392.3650000002</v>
      </c>
      <c r="AK28" s="145">
        <f t="shared" si="10"/>
        <v>51802077.936000004</v>
      </c>
      <c r="AL28" s="152">
        <f t="shared" si="11"/>
        <v>202898678.58357155</v>
      </c>
      <c r="AM28" s="145">
        <f t="shared" si="12"/>
        <v>184154426.84</v>
      </c>
      <c r="AN28" s="145">
        <f t="shared" si="13"/>
        <v>517036735.04687154</v>
      </c>
      <c r="AO28" s="169">
        <v>3043378.19</v>
      </c>
      <c r="AP28" s="159">
        <v>495826.85</v>
      </c>
      <c r="AQ28" s="149">
        <v>11473222.24</v>
      </c>
      <c r="AR28" s="149">
        <v>750000</v>
      </c>
      <c r="AS28" s="145">
        <f t="shared" si="32"/>
        <v>15762427.280000001</v>
      </c>
      <c r="AT28" s="145">
        <f t="shared" si="14"/>
        <v>501274307.76687157</v>
      </c>
      <c r="AU28" s="145">
        <f t="shared" si="15"/>
        <v>492102882.41213787</v>
      </c>
      <c r="AV28" s="145">
        <f t="shared" si="33"/>
        <v>9171425.3547337055</v>
      </c>
      <c r="AW28" s="149">
        <f t="shared" si="16"/>
        <v>0.30617065209243283</v>
      </c>
      <c r="AX28" s="133">
        <v>0.44</v>
      </c>
      <c r="AY28" s="150">
        <v>0.5</v>
      </c>
      <c r="AZ28" s="133">
        <v>7.0000000000000007E-2</v>
      </c>
      <c r="BA28" s="145">
        <f t="shared" si="17"/>
        <v>4035427.1560828304</v>
      </c>
      <c r="BB28" s="145">
        <f t="shared" si="18"/>
        <v>4585712.6773668528</v>
      </c>
      <c r="BC28" s="145">
        <f t="shared" si="19"/>
        <v>641999.77483135939</v>
      </c>
      <c r="BD28" s="145">
        <f t="shared" si="20"/>
        <v>3.5868750518100415E-2</v>
      </c>
      <c r="BE28" s="145">
        <f t="shared" si="21"/>
        <v>4.8253864934323515E-2</v>
      </c>
      <c r="BF28" s="145">
        <f t="shared" si="22"/>
        <v>3.7274007708308302E-3</v>
      </c>
      <c r="BG28" s="145">
        <f t="shared" si="23"/>
        <v>2.2780687505181003</v>
      </c>
      <c r="BH28" s="145">
        <f t="shared" si="24"/>
        <v>2.2463538649343238</v>
      </c>
      <c r="BI28" s="145">
        <f t="shared" si="25"/>
        <v>0.18342740077083083</v>
      </c>
      <c r="BJ28" s="154">
        <f t="shared" si="26"/>
        <v>4.3357786366907118E-2</v>
      </c>
      <c r="BK28" s="154">
        <f t="shared" si="27"/>
        <v>3.4924987470863735E-2</v>
      </c>
      <c r="BL28" s="154">
        <f t="shared" si="28"/>
        <v>5.9298366728333218E-2</v>
      </c>
      <c r="BM28" s="145">
        <f t="shared" si="29"/>
        <v>0.34614840283158849</v>
      </c>
    </row>
    <row r="29" spans="1:65" s="146" customFormat="1" ht="18" customHeight="1" x14ac:dyDescent="0.25">
      <c r="A29" s="269">
        <v>2010</v>
      </c>
      <c r="B29" s="86" t="s">
        <v>263</v>
      </c>
      <c r="C29" s="254">
        <v>3088878890</v>
      </c>
      <c r="D29" s="254">
        <f t="shared" si="34"/>
        <v>117869807</v>
      </c>
      <c r="E29" s="254">
        <f t="shared" si="35"/>
        <v>275750985</v>
      </c>
      <c r="F29" s="254">
        <v>10742908</v>
      </c>
      <c r="G29" s="254">
        <v>8809690</v>
      </c>
      <c r="H29" s="254">
        <v>4400814</v>
      </c>
      <c r="I29" s="254">
        <v>50548041</v>
      </c>
      <c r="J29" s="254">
        <v>43368354</v>
      </c>
      <c r="K29" s="254">
        <f t="shared" si="36"/>
        <v>117869807</v>
      </c>
      <c r="L29" s="254">
        <v>439166721</v>
      </c>
      <c r="M29" s="254">
        <v>48894449</v>
      </c>
      <c r="N29" s="254">
        <v>10970583</v>
      </c>
      <c r="O29" s="254">
        <v>3854648</v>
      </c>
      <c r="P29" s="254">
        <v>93425274</v>
      </c>
      <c r="Q29" s="254">
        <v>118606031</v>
      </c>
      <c r="R29" s="254">
        <f t="shared" si="37"/>
        <v>275750985</v>
      </c>
      <c r="S29" s="28">
        <f>Q29*'Order 30 Components'!AG17</f>
        <v>42083930.985303961</v>
      </c>
      <c r="T29" s="254">
        <f t="shared" si="30"/>
        <v>76522100.014696032</v>
      </c>
      <c r="U29" s="28">
        <f>R29*'Order 30 Components'!AG17</f>
        <v>97842287.81645672</v>
      </c>
      <c r="V29" s="259">
        <f t="shared" si="31"/>
        <v>177908697.18354326</v>
      </c>
      <c r="W29" s="260">
        <f t="shared" si="4"/>
        <v>3.8159413559914611E-2</v>
      </c>
      <c r="X29" s="154">
        <f t="shared" si="5"/>
        <v>8.9272190597281725E-2</v>
      </c>
      <c r="Y29" s="260">
        <f t="shared" si="6"/>
        <v>3.1675663339606273E-2</v>
      </c>
      <c r="Z29" s="260">
        <f t="shared" si="7"/>
        <v>5.7596527257675445E-2</v>
      </c>
      <c r="AA29" s="261">
        <v>9.11</v>
      </c>
      <c r="AB29" s="261">
        <v>2.3348</v>
      </c>
      <c r="AC29" s="261">
        <v>1.0900000000000001</v>
      </c>
      <c r="AD29" s="261">
        <v>1.8022</v>
      </c>
      <c r="AE29" s="261">
        <v>1.7951999999999999</v>
      </c>
      <c r="AF29" s="261">
        <v>2.1705999999999999</v>
      </c>
      <c r="AG29" s="261">
        <v>0.1852</v>
      </c>
      <c r="AH29" s="261">
        <v>1.0067999999999999</v>
      </c>
      <c r="AI29" s="263">
        <f t="shared" si="8"/>
        <v>69544914.185399994</v>
      </c>
      <c r="AJ29" s="263">
        <f t="shared" si="9"/>
        <v>9826440.3366</v>
      </c>
      <c r="AK29" s="263">
        <f t="shared" si="10"/>
        <v>39967472.098800004</v>
      </c>
      <c r="AL29" s="264">
        <f t="shared" si="11"/>
        <v>183374142.62022245</v>
      </c>
      <c r="AM29" s="263">
        <f t="shared" si="12"/>
        <v>184804409.06639999</v>
      </c>
      <c r="AN29" s="263">
        <f t="shared" si="13"/>
        <v>487517378.30742246</v>
      </c>
      <c r="AO29" s="265">
        <v>3012254.68</v>
      </c>
      <c r="AP29" s="266">
        <v>501246.67</v>
      </c>
      <c r="AQ29" s="267">
        <v>11854274.119999999</v>
      </c>
      <c r="AR29" s="267">
        <v>750000</v>
      </c>
      <c r="AS29" s="263">
        <f t="shared" si="32"/>
        <v>16117775.469999999</v>
      </c>
      <c r="AT29" s="263">
        <f t="shared" si="14"/>
        <v>471399602.83742249</v>
      </c>
      <c r="AU29" s="263">
        <f t="shared" si="15"/>
        <v>456925038.17919314</v>
      </c>
      <c r="AV29" s="263">
        <f t="shared" si="33"/>
        <v>14474564.658229351</v>
      </c>
      <c r="AW29" s="267">
        <f t="shared" si="16"/>
        <v>0.46860253100533028</v>
      </c>
      <c r="AX29" s="262">
        <v>0.44</v>
      </c>
      <c r="AY29" s="268">
        <v>0.5</v>
      </c>
      <c r="AZ29" s="262">
        <v>7.0000000000000007E-2</v>
      </c>
      <c r="BA29" s="263">
        <f t="shared" si="17"/>
        <v>6368808.4496209146</v>
      </c>
      <c r="BB29" s="263">
        <f t="shared" si="18"/>
        <v>7237282.3291146755</v>
      </c>
      <c r="BC29" s="263">
        <f t="shared" si="19"/>
        <v>1013219.5260760547</v>
      </c>
      <c r="BD29" s="263">
        <f t="shared" si="20"/>
        <v>5.4032568744436092E-2</v>
      </c>
      <c r="BE29" s="263">
        <f t="shared" si="21"/>
        <v>7.3968858360008535E-2</v>
      </c>
      <c r="BF29" s="263">
        <f t="shared" si="22"/>
        <v>5.6951657907468424E-3</v>
      </c>
      <c r="BG29" s="263">
        <f t="shared" si="23"/>
        <v>1.849232568744436</v>
      </c>
      <c r="BH29" s="263">
        <f t="shared" si="24"/>
        <v>2.2445688583600085</v>
      </c>
      <c r="BI29" s="263">
        <f t="shared" si="25"/>
        <v>0.19089516579074683</v>
      </c>
      <c r="BJ29" s="260">
        <f t="shared" si="26"/>
        <v>4.395941355991461E-2</v>
      </c>
      <c r="BK29" s="260">
        <f t="shared" si="27"/>
        <v>3.4875663339606275E-2</v>
      </c>
      <c r="BL29" s="260">
        <f t="shared" si="28"/>
        <v>5.9396527257675448E-2</v>
      </c>
      <c r="BM29" s="263">
        <f t="shared" si="29"/>
        <v>0.52932261070469366</v>
      </c>
    </row>
    <row r="30" spans="1:65" ht="18" customHeight="1" x14ac:dyDescent="0.25">
      <c r="A30" s="11">
        <v>2011</v>
      </c>
      <c r="B30" s="12" t="s">
        <v>255</v>
      </c>
      <c r="C30" s="25">
        <v>3247116004</v>
      </c>
      <c r="D30" s="26">
        <f t="shared" ref="D30:D41" si="38">+K30</f>
        <v>124421437</v>
      </c>
      <c r="E30" s="27">
        <f t="shared" ref="E30:E41" si="39">+R30</f>
        <v>288901654</v>
      </c>
      <c r="F30" s="29">
        <v>10107067</v>
      </c>
      <c r="G30" s="26">
        <v>7266172</v>
      </c>
      <c r="H30" s="28">
        <v>6044266</v>
      </c>
      <c r="I30" s="26">
        <v>52334895</v>
      </c>
      <c r="J30" s="26">
        <v>48669037</v>
      </c>
      <c r="K30" s="30">
        <f t="shared" ref="K30:K41" si="40">SUM(F30:J30)</f>
        <v>124421437</v>
      </c>
      <c r="L30" s="31">
        <v>440090362</v>
      </c>
      <c r="M30" s="32">
        <v>48946876</v>
      </c>
      <c r="N30" s="26">
        <v>10939875</v>
      </c>
      <c r="O30" s="26">
        <v>5732376</v>
      </c>
      <c r="P30" s="26">
        <v>92275056</v>
      </c>
      <c r="Q30" s="26">
        <v>131007471</v>
      </c>
      <c r="R30" s="27">
        <f t="shared" ref="R30:R41" si="41">SUM(M30:Q30)</f>
        <v>288901654</v>
      </c>
      <c r="S30" s="28">
        <f>Q30*'Order 30 Components'!AG6</f>
        <v>46173404.160347104</v>
      </c>
      <c r="T30" s="28">
        <f t="shared" si="30"/>
        <v>84834066.839652896</v>
      </c>
      <c r="U30" s="28">
        <f>R30*'Order 30 Components'!AG6</f>
        <v>101822993.23017052</v>
      </c>
      <c r="V30" s="143">
        <f t="shared" si="31"/>
        <v>187078660.76982948</v>
      </c>
      <c r="W30" s="154">
        <f t="shared" si="4"/>
        <v>3.8317521408760859E-2</v>
      </c>
      <c r="X30" s="154">
        <f t="shared" si="5"/>
        <v>8.8971768684615191E-2</v>
      </c>
      <c r="Y30" s="154">
        <f t="shared" si="6"/>
        <v>3.1357978312058638E-2</v>
      </c>
      <c r="Z30" s="154">
        <f t="shared" si="7"/>
        <v>5.7613790372556546E-2</v>
      </c>
      <c r="AA30" s="144">
        <v>9.33</v>
      </c>
      <c r="AB30" s="144">
        <v>1.7696000000000001</v>
      </c>
      <c r="AC30" s="144">
        <v>1.1144000000000001</v>
      </c>
      <c r="AD30" s="144">
        <v>2.0308999999999999</v>
      </c>
      <c r="AE30" s="144">
        <v>2.0238999999999998</v>
      </c>
      <c r="AF30" s="144">
        <v>1.7589999999999999</v>
      </c>
      <c r="AG30" s="144">
        <v>0.20019999999999999</v>
      </c>
      <c r="AH30" s="144">
        <v>1.0743</v>
      </c>
      <c r="AI30" s="145">
        <f t="shared" si="8"/>
        <v>63512640.068599999</v>
      </c>
      <c r="AJ30" s="145">
        <f t="shared" si="9"/>
        <v>9833142.8084999993</v>
      </c>
      <c r="AK30" s="145">
        <f t="shared" si="10"/>
        <v>45611725.048600003</v>
      </c>
      <c r="AL30" s="152">
        <f t="shared" si="11"/>
        <v>196704062.08364904</v>
      </c>
      <c r="AM30" s="145">
        <f t="shared" si="12"/>
        <v>205051686.65130001</v>
      </c>
      <c r="AN30" s="145">
        <f t="shared" si="13"/>
        <v>520713256.66064906</v>
      </c>
      <c r="AO30" s="169">
        <v>3143399.53</v>
      </c>
      <c r="AP30" s="159">
        <v>516090.76</v>
      </c>
      <c r="AQ30" s="149">
        <v>11858358.85</v>
      </c>
      <c r="AR30" s="149">
        <v>750000</v>
      </c>
      <c r="AS30" s="145">
        <f t="shared" si="32"/>
        <v>16267849.140000001</v>
      </c>
      <c r="AT30" s="145">
        <f t="shared" si="14"/>
        <v>504445407.52064908</v>
      </c>
      <c r="AU30" s="145">
        <f t="shared" si="15"/>
        <v>468376339.32228971</v>
      </c>
      <c r="AV30" s="145">
        <f t="shared" si="33"/>
        <v>36069068.19835937</v>
      </c>
      <c r="AW30" s="149">
        <f t="shared" si="16"/>
        <v>1.1108031913219991</v>
      </c>
      <c r="AX30" s="133">
        <v>0.43</v>
      </c>
      <c r="AY30" s="133">
        <v>0.48</v>
      </c>
      <c r="AZ30" s="150">
        <v>0.1</v>
      </c>
      <c r="BA30" s="145">
        <f t="shared" si="17"/>
        <v>15509699.325294528</v>
      </c>
      <c r="BB30" s="145">
        <f t="shared" si="18"/>
        <v>17313152.735212497</v>
      </c>
      <c r="BC30" s="145">
        <f t="shared" si="19"/>
        <v>3606906.8198359371</v>
      </c>
      <c r="BD30" s="145">
        <f t="shared" si="20"/>
        <v>0.12465455872603792</v>
      </c>
      <c r="BE30" s="145">
        <f t="shared" si="21"/>
        <v>0.17003185809001092</v>
      </c>
      <c r="BF30" s="145">
        <f t="shared" si="22"/>
        <v>1.9280161644270384E-2</v>
      </c>
      <c r="BG30" s="145">
        <f t="shared" si="23"/>
        <v>2.1485545587260377</v>
      </c>
      <c r="BH30" s="145">
        <f t="shared" si="24"/>
        <v>1.9290318580900108</v>
      </c>
      <c r="BI30" s="145">
        <f t="shared" si="25"/>
        <v>0.21948016164427037</v>
      </c>
      <c r="BJ30" s="154">
        <f t="shared" si="26"/>
        <v>4.4117521408760858E-2</v>
      </c>
      <c r="BK30" s="154">
        <f t="shared" si="27"/>
        <v>3.4557978312058639E-2</v>
      </c>
      <c r="BL30" s="154">
        <f t="shared" si="28"/>
        <v>5.9413790372556549E-2</v>
      </c>
      <c r="BM30" s="145">
        <f t="shared" si="29"/>
        <v>1.2520914909810932</v>
      </c>
    </row>
    <row r="31" spans="1:65" ht="18" customHeight="1" x14ac:dyDescent="0.25">
      <c r="A31" s="11">
        <v>2011</v>
      </c>
      <c r="B31" s="12" t="s">
        <v>256</v>
      </c>
      <c r="C31" s="25">
        <v>3028854495</v>
      </c>
      <c r="D31" s="26">
        <f t="shared" si="38"/>
        <v>114632111</v>
      </c>
      <c r="E31" s="27">
        <f t="shared" si="39"/>
        <v>268736263</v>
      </c>
      <c r="F31" s="29">
        <v>9128694</v>
      </c>
      <c r="G31" s="26">
        <v>8361087</v>
      </c>
      <c r="H31" s="28">
        <v>7159632</v>
      </c>
      <c r="I31" s="26">
        <v>46820360</v>
      </c>
      <c r="J31" s="26">
        <v>43162338</v>
      </c>
      <c r="K31" s="30">
        <f t="shared" si="40"/>
        <v>114632111</v>
      </c>
      <c r="L31" s="31">
        <v>393652811</v>
      </c>
      <c r="M31" s="32">
        <v>43679563</v>
      </c>
      <c r="N31" s="26">
        <v>10518259</v>
      </c>
      <c r="O31" s="26">
        <v>6431319</v>
      </c>
      <c r="P31" s="26">
        <v>87698466</v>
      </c>
      <c r="Q31" s="26">
        <v>120408656</v>
      </c>
      <c r="R31" s="27">
        <f t="shared" si="41"/>
        <v>268736263</v>
      </c>
      <c r="S31" s="28">
        <f>Q31*'Order 30 Components'!AG7</f>
        <v>42282316.229272135</v>
      </c>
      <c r="T31" s="28">
        <f t="shared" si="30"/>
        <v>78126339.770727873</v>
      </c>
      <c r="U31" s="28">
        <f>R31*'Order 30 Components'!AG7</f>
        <v>94368561.463212788</v>
      </c>
      <c r="V31" s="143">
        <f t="shared" si="31"/>
        <v>174367701.53678721</v>
      </c>
      <c r="W31" s="154">
        <f t="shared" si="4"/>
        <v>3.7846687977000359E-2</v>
      </c>
      <c r="X31" s="154">
        <f t="shared" si="5"/>
        <v>8.8725378998438811E-2</v>
      </c>
      <c r="Y31" s="154">
        <f t="shared" si="6"/>
        <v>3.1156518617515429E-2</v>
      </c>
      <c r="Z31" s="154">
        <f t="shared" si="7"/>
        <v>5.756886038092339E-2</v>
      </c>
      <c r="AA31" s="144">
        <v>9.57</v>
      </c>
      <c r="AB31" s="144">
        <v>1.9003000000000001</v>
      </c>
      <c r="AC31" s="144">
        <v>1.1411</v>
      </c>
      <c r="AD31" s="144">
        <v>2.3037000000000001</v>
      </c>
      <c r="AE31" s="144">
        <v>2.2967</v>
      </c>
      <c r="AF31" s="144">
        <v>2.5586000000000002</v>
      </c>
      <c r="AG31" s="144">
        <v>0.23100000000000001</v>
      </c>
      <c r="AH31" s="144">
        <v>1.1930000000000001</v>
      </c>
      <c r="AI31" s="145">
        <f t="shared" si="8"/>
        <v>59199965.400000006</v>
      </c>
      <c r="AJ31" s="145">
        <f t="shared" si="9"/>
        <v>8795283.0395999998</v>
      </c>
      <c r="AK31" s="145">
        <f t="shared" si="10"/>
        <v>55096243.816100001</v>
      </c>
      <c r="AL31" s="152">
        <f t="shared" si="11"/>
        <v>225361660.47585383</v>
      </c>
      <c r="AM31" s="145">
        <f t="shared" si="12"/>
        <v>212156590.75</v>
      </c>
      <c r="AN31" s="145">
        <f t="shared" si="13"/>
        <v>560609743.48155379</v>
      </c>
      <c r="AO31" s="169">
        <v>2790439.05</v>
      </c>
      <c r="AP31" s="159">
        <v>465619.43</v>
      </c>
      <c r="AQ31" s="149">
        <v>10713392.189999999</v>
      </c>
      <c r="AR31" s="149">
        <v>750000</v>
      </c>
      <c r="AS31" s="145">
        <f t="shared" si="32"/>
        <v>14719450.67</v>
      </c>
      <c r="AT31" s="145">
        <f t="shared" si="14"/>
        <v>545890292.81155384</v>
      </c>
      <c r="AU31" s="145">
        <f t="shared" si="15"/>
        <v>545005909.74847412</v>
      </c>
      <c r="AV31" s="145">
        <f t="shared" si="33"/>
        <v>884383.06307971478</v>
      </c>
      <c r="AW31" s="149">
        <f t="shared" si="16"/>
        <v>2.9198598497869235E-2</v>
      </c>
      <c r="AX31" s="133">
        <v>0.43</v>
      </c>
      <c r="AY31" s="133">
        <v>0.48</v>
      </c>
      <c r="AZ31" s="150">
        <v>0.1</v>
      </c>
      <c r="BA31" s="145">
        <f t="shared" si="17"/>
        <v>380284.71712427732</v>
      </c>
      <c r="BB31" s="145">
        <f t="shared" si="18"/>
        <v>424503.87027826306</v>
      </c>
      <c r="BC31" s="145">
        <f t="shared" si="19"/>
        <v>88438.306307971478</v>
      </c>
      <c r="BD31" s="145">
        <f t="shared" si="20"/>
        <v>3.3174362210277829E-3</v>
      </c>
      <c r="BE31" s="145">
        <f t="shared" si="21"/>
        <v>4.4983611458753155E-3</v>
      </c>
      <c r="BF31" s="145">
        <f t="shared" si="22"/>
        <v>5.071943113806155E-4</v>
      </c>
      <c r="BG31" s="145">
        <f t="shared" si="23"/>
        <v>2.3000174362210277</v>
      </c>
      <c r="BH31" s="145">
        <f t="shared" si="24"/>
        <v>2.5630983611458755</v>
      </c>
      <c r="BI31" s="145">
        <f t="shared" si="25"/>
        <v>0.23150719431138062</v>
      </c>
      <c r="BJ31" s="154">
        <f t="shared" si="26"/>
        <v>4.3646687977000359E-2</v>
      </c>
      <c r="BK31" s="154">
        <f t="shared" si="27"/>
        <v>3.435651861751543E-2</v>
      </c>
      <c r="BL31" s="154">
        <f t="shared" si="28"/>
        <v>5.9368860380923393E-2</v>
      </c>
      <c r="BM31" s="145">
        <f t="shared" si="29"/>
        <v>3.294546803377265E-2</v>
      </c>
    </row>
    <row r="32" spans="1:65" ht="18" customHeight="1" x14ac:dyDescent="0.25">
      <c r="A32" s="11">
        <v>2011</v>
      </c>
      <c r="B32" s="12" t="s">
        <v>257</v>
      </c>
      <c r="C32" s="25">
        <v>3439776345</v>
      </c>
      <c r="D32" s="26">
        <f t="shared" si="38"/>
        <v>128351476</v>
      </c>
      <c r="E32" s="27">
        <f t="shared" si="39"/>
        <v>304840523</v>
      </c>
      <c r="F32" s="29">
        <v>10114300</v>
      </c>
      <c r="G32" s="26">
        <v>9856320</v>
      </c>
      <c r="H32" s="28">
        <v>9767461</v>
      </c>
      <c r="I32" s="26">
        <v>50600711</v>
      </c>
      <c r="J32" s="26">
        <v>48012684</v>
      </c>
      <c r="K32" s="30">
        <f t="shared" si="40"/>
        <v>128351476</v>
      </c>
      <c r="L32" s="31">
        <v>451153310</v>
      </c>
      <c r="M32" s="32">
        <v>50029781</v>
      </c>
      <c r="N32" s="26">
        <v>11469451</v>
      </c>
      <c r="O32" s="26">
        <v>8199359</v>
      </c>
      <c r="P32" s="26">
        <v>101745596</v>
      </c>
      <c r="Q32" s="26">
        <v>133396336</v>
      </c>
      <c r="R32" s="27">
        <f t="shared" si="41"/>
        <v>304840523</v>
      </c>
      <c r="S32" s="28">
        <f>Q32*'Order 30 Components'!AG8</f>
        <v>46637929.608977631</v>
      </c>
      <c r="T32" s="28">
        <f t="shared" si="30"/>
        <v>86758406.391022369</v>
      </c>
      <c r="U32" s="28">
        <f>R32*'Order 30 Components'!AG8</f>
        <v>106578121.10849826</v>
      </c>
      <c r="V32" s="143">
        <f t="shared" si="31"/>
        <v>198262401.89150172</v>
      </c>
      <c r="W32" s="154">
        <f t="shared" si="4"/>
        <v>3.7313901581586692E-2</v>
      </c>
      <c r="X32" s="154">
        <f t="shared" si="5"/>
        <v>8.8622192964118426E-2</v>
      </c>
      <c r="Y32" s="154">
        <f t="shared" si="6"/>
        <v>3.0984026407245457E-2</v>
      </c>
      <c r="Z32" s="154">
        <f t="shared" si="7"/>
        <v>5.7638166556872969E-2</v>
      </c>
      <c r="AA32" s="144">
        <v>10.5</v>
      </c>
      <c r="AB32" s="144">
        <v>2.3136000000000001</v>
      </c>
      <c r="AC32" s="144">
        <v>1.2444</v>
      </c>
      <c r="AD32" s="144">
        <v>2.2928999999999999</v>
      </c>
      <c r="AE32" s="144">
        <v>2.2858999999999998</v>
      </c>
      <c r="AF32" s="144">
        <v>3.3024</v>
      </c>
      <c r="AG32" s="144">
        <v>0.26650000000000001</v>
      </c>
      <c r="AH32" s="144">
        <v>1.3133999999999999</v>
      </c>
      <c r="AI32" s="145">
        <f t="shared" si="8"/>
        <v>76024669.034999996</v>
      </c>
      <c r="AJ32" s="145">
        <f t="shared" si="9"/>
        <v>10072558.602700001</v>
      </c>
      <c r="AK32" s="145">
        <f t="shared" si="10"/>
        <v>69471234.618900001</v>
      </c>
      <c r="AL32" s="152">
        <f t="shared" si="11"/>
        <v>286890408.39949518</v>
      </c>
      <c r="AM32" s="145">
        <f t="shared" si="12"/>
        <v>249300831.06129998</v>
      </c>
      <c r="AN32" s="145">
        <f t="shared" si="13"/>
        <v>691759701.71739507</v>
      </c>
      <c r="AO32" s="169">
        <v>3117634.2900000005</v>
      </c>
      <c r="AP32" s="159">
        <v>515772.25</v>
      </c>
      <c r="AQ32" s="149">
        <v>11858000.43</v>
      </c>
      <c r="AR32" s="149">
        <v>750000</v>
      </c>
      <c r="AS32" s="145">
        <f t="shared" si="32"/>
        <v>16241406.970000001</v>
      </c>
      <c r="AT32" s="145">
        <f t="shared" si="14"/>
        <v>675518294.74739504</v>
      </c>
      <c r="AU32" s="145">
        <f t="shared" si="15"/>
        <v>698199156.24118984</v>
      </c>
      <c r="AV32" s="145">
        <f t="shared" si="33"/>
        <v>-22680861.493794799</v>
      </c>
      <c r="AW32" s="149">
        <f t="shared" si="16"/>
        <v>-0.65937023861342925</v>
      </c>
      <c r="AX32" s="133">
        <v>0.43</v>
      </c>
      <c r="AY32" s="133">
        <v>0.48</v>
      </c>
      <c r="AZ32" s="150">
        <v>0.1</v>
      </c>
      <c r="BA32" s="145">
        <f t="shared" si="17"/>
        <v>-9752770.442331763</v>
      </c>
      <c r="BB32" s="145">
        <f t="shared" si="18"/>
        <v>-10886813.517021503</v>
      </c>
      <c r="BC32" s="145">
        <f t="shared" si="19"/>
        <v>-2268086.1493794802</v>
      </c>
      <c r="BD32" s="145">
        <f t="shared" si="20"/>
        <v>-7.5984871746482788E-2</v>
      </c>
      <c r="BE32" s="145">
        <f t="shared" si="21"/>
        <v>-0.10214867182673028</v>
      </c>
      <c r="BF32" s="145">
        <f t="shared" si="22"/>
        <v>-1.1439819793067376E-2</v>
      </c>
      <c r="BG32" s="145">
        <f t="shared" si="23"/>
        <v>2.2099151282535172</v>
      </c>
      <c r="BH32" s="145">
        <f t="shared" si="24"/>
        <v>3.2002513281732696</v>
      </c>
      <c r="BI32" s="145">
        <f t="shared" si="25"/>
        <v>0.25506018020693266</v>
      </c>
      <c r="BJ32" s="154">
        <f t="shared" si="26"/>
        <v>4.3113901581586692E-2</v>
      </c>
      <c r="BK32" s="154">
        <f t="shared" si="27"/>
        <v>3.4184026407245459E-2</v>
      </c>
      <c r="BL32" s="154">
        <f t="shared" si="28"/>
        <v>5.9438166556872972E-2</v>
      </c>
      <c r="BM32" s="145">
        <f t="shared" si="29"/>
        <v>-0.74478190915982956</v>
      </c>
    </row>
    <row r="33" spans="1:65" ht="18" customHeight="1" x14ac:dyDescent="0.25">
      <c r="A33" s="11">
        <v>2011</v>
      </c>
      <c r="B33" s="12" t="s">
        <v>258</v>
      </c>
      <c r="C33" s="25">
        <v>3368668650</v>
      </c>
      <c r="D33" s="26">
        <f t="shared" si="38"/>
        <v>124017392</v>
      </c>
      <c r="E33" s="27">
        <f t="shared" si="39"/>
        <v>297625625</v>
      </c>
      <c r="F33" s="29">
        <v>9069285</v>
      </c>
      <c r="G33" s="26">
        <v>7697876</v>
      </c>
      <c r="H33" s="28">
        <v>7540842</v>
      </c>
      <c r="I33" s="26">
        <v>52380973</v>
      </c>
      <c r="J33" s="26">
        <v>47328416</v>
      </c>
      <c r="K33" s="30">
        <f t="shared" si="40"/>
        <v>124017392</v>
      </c>
      <c r="L33" s="31">
        <v>399358511</v>
      </c>
      <c r="M33" s="32">
        <v>44262106</v>
      </c>
      <c r="N33" s="26">
        <v>11031493</v>
      </c>
      <c r="O33" s="26">
        <v>7016168</v>
      </c>
      <c r="P33" s="26">
        <v>103664547</v>
      </c>
      <c r="Q33" s="26">
        <v>131651311</v>
      </c>
      <c r="R33" s="27">
        <f t="shared" si="41"/>
        <v>297625625</v>
      </c>
      <c r="S33" s="28">
        <f>Q33*'Order 30 Components'!AG9</f>
        <v>45751323.666049533</v>
      </c>
      <c r="T33" s="28">
        <f t="shared" si="30"/>
        <v>85899987.33395046</v>
      </c>
      <c r="U33" s="28">
        <f>R33*'Order 30 Components'!AG9</f>
        <v>103430540.8526109</v>
      </c>
      <c r="V33" s="143">
        <f t="shared" si="31"/>
        <v>194195084.14738911</v>
      </c>
      <c r="W33" s="154">
        <f t="shared" si="4"/>
        <v>3.6814957149317727E-2</v>
      </c>
      <c r="X33" s="154">
        <f t="shared" si="5"/>
        <v>8.8351113131889661E-2</v>
      </c>
      <c r="Y33" s="154">
        <f t="shared" si="6"/>
        <v>3.0703684926865961E-2</v>
      </c>
      <c r="Z33" s="154">
        <f t="shared" si="7"/>
        <v>5.76474282050237E-2</v>
      </c>
      <c r="AA33" s="144">
        <v>11.94</v>
      </c>
      <c r="AB33" s="144">
        <v>2.2583000000000002</v>
      </c>
      <c r="AC33" s="144">
        <v>1.37</v>
      </c>
      <c r="AD33" s="144">
        <v>2.2183000000000002</v>
      </c>
      <c r="AE33" s="144">
        <v>2.2113</v>
      </c>
      <c r="AF33" s="144">
        <v>2.4984000000000002</v>
      </c>
      <c r="AG33" s="144">
        <v>0.29020000000000001</v>
      </c>
      <c r="AH33" s="144">
        <v>1.3862000000000001</v>
      </c>
      <c r="AI33" s="145">
        <f t="shared" si="8"/>
        <v>73449467.985300004</v>
      </c>
      <c r="AJ33" s="145">
        <f t="shared" si="9"/>
        <v>8917991.0693999995</v>
      </c>
      <c r="AK33" s="145">
        <f t="shared" si="10"/>
        <v>58529343.709400006</v>
      </c>
      <c r="AL33" s="152">
        <f t="shared" si="11"/>
        <v>243890609.67237058</v>
      </c>
      <c r="AM33" s="145">
        <f t="shared" si="12"/>
        <v>259529840.64630002</v>
      </c>
      <c r="AN33" s="145">
        <f t="shared" si="13"/>
        <v>644317253.08277059</v>
      </c>
      <c r="AO33" s="169">
        <v>2899377.92</v>
      </c>
      <c r="AP33" s="159">
        <v>493741.42</v>
      </c>
      <c r="AQ33" s="149">
        <v>11478140.539999999</v>
      </c>
      <c r="AR33" s="149">
        <v>750000</v>
      </c>
      <c r="AS33" s="145">
        <f t="shared" si="32"/>
        <v>15621259.879999999</v>
      </c>
      <c r="AT33" s="145">
        <f t="shared" si="14"/>
        <v>628695993.20277059</v>
      </c>
      <c r="AU33" s="145">
        <f t="shared" si="15"/>
        <v>589005935.61533546</v>
      </c>
      <c r="AV33" s="145">
        <f t="shared" si="33"/>
        <v>39690057.587435126</v>
      </c>
      <c r="AW33" s="149">
        <f t="shared" si="16"/>
        <v>1.1782119796031327</v>
      </c>
      <c r="AX33" s="133">
        <v>0.43</v>
      </c>
      <c r="AY33" s="133">
        <v>0.48</v>
      </c>
      <c r="AZ33" s="150">
        <v>0.1</v>
      </c>
      <c r="BA33" s="145">
        <f t="shared" si="17"/>
        <v>17066724.762597103</v>
      </c>
      <c r="BB33" s="145">
        <f t="shared" si="18"/>
        <v>19051227.641968861</v>
      </c>
      <c r="BC33" s="145">
        <f t="shared" si="19"/>
        <v>3969005.7587435129</v>
      </c>
      <c r="BD33" s="145">
        <f t="shared" si="20"/>
        <v>0.13761557542346239</v>
      </c>
      <c r="BE33" s="145">
        <f t="shared" si="21"/>
        <v>0.18419344503976798</v>
      </c>
      <c r="BF33" s="145">
        <f t="shared" si="22"/>
        <v>2.0438240113900816E-2</v>
      </c>
      <c r="BG33" s="145">
        <f t="shared" si="23"/>
        <v>2.3489155754234625</v>
      </c>
      <c r="BH33" s="145">
        <f t="shared" si="24"/>
        <v>2.6825934450397684</v>
      </c>
      <c r="BI33" s="145">
        <f t="shared" si="25"/>
        <v>0.31063824011390084</v>
      </c>
      <c r="BJ33" s="154">
        <f t="shared" si="26"/>
        <v>4.2614957149317727E-2</v>
      </c>
      <c r="BK33" s="154">
        <f t="shared" si="27"/>
        <v>3.3903684926865962E-2</v>
      </c>
      <c r="BL33" s="154">
        <f t="shared" si="28"/>
        <v>5.9447428205023703E-2</v>
      </c>
      <c r="BM33" s="145">
        <f t="shared" si="29"/>
        <v>1.3324319187780003</v>
      </c>
    </row>
    <row r="34" spans="1:65" ht="18" customHeight="1" x14ac:dyDescent="0.25">
      <c r="A34" s="11">
        <v>2011</v>
      </c>
      <c r="B34" s="12" t="s">
        <v>6</v>
      </c>
      <c r="C34" s="25">
        <v>3527429161</v>
      </c>
      <c r="D34" s="26">
        <f t="shared" si="38"/>
        <v>128698813</v>
      </c>
      <c r="E34" s="27">
        <f t="shared" si="39"/>
        <v>311869030</v>
      </c>
      <c r="F34" s="29">
        <v>9797775</v>
      </c>
      <c r="G34" s="26">
        <v>9130520</v>
      </c>
      <c r="H34" s="28">
        <v>7595829</v>
      </c>
      <c r="I34" s="26">
        <v>53130431</v>
      </c>
      <c r="J34" s="26">
        <v>49044258</v>
      </c>
      <c r="K34" s="30">
        <f t="shared" si="40"/>
        <v>128698813</v>
      </c>
      <c r="L34" s="31">
        <v>431010318</v>
      </c>
      <c r="M34" s="32">
        <v>47730334</v>
      </c>
      <c r="N34" s="26">
        <v>11756521</v>
      </c>
      <c r="O34" s="26">
        <v>7489214</v>
      </c>
      <c r="P34" s="26">
        <v>106038115</v>
      </c>
      <c r="Q34" s="26">
        <v>138854846</v>
      </c>
      <c r="R34" s="27">
        <f t="shared" si="41"/>
        <v>311869030</v>
      </c>
      <c r="S34" s="28">
        <f>Q34*'Order 30 Components'!AG10</f>
        <v>47952419.585953519</v>
      </c>
      <c r="T34" s="28">
        <f t="shared" si="30"/>
        <v>90902426.414046481</v>
      </c>
      <c r="U34" s="28">
        <f>R34*'Order 30 Components'!AG10</f>
        <v>107701495.57779442</v>
      </c>
      <c r="V34" s="143">
        <f t="shared" si="31"/>
        <v>204167534.42220557</v>
      </c>
      <c r="W34" s="154">
        <f t="shared" si="4"/>
        <v>3.6485158773114763E-2</v>
      </c>
      <c r="X34" s="154">
        <f t="shared" si="5"/>
        <v>8.8412556500946843E-2</v>
      </c>
      <c r="Y34" s="154">
        <f t="shared" si="6"/>
        <v>3.0532575046032063E-2</v>
      </c>
      <c r="Z34" s="154">
        <f t="shared" si="7"/>
        <v>5.787998145491477E-2</v>
      </c>
      <c r="AA34" s="144">
        <v>12.49</v>
      </c>
      <c r="AB34" s="144">
        <v>2.1983999999999999</v>
      </c>
      <c r="AC34" s="144">
        <v>1.4656</v>
      </c>
      <c r="AD34" s="144">
        <v>2.2566999999999999</v>
      </c>
      <c r="AE34" s="144">
        <v>2.2496999999999998</v>
      </c>
      <c r="AF34" s="144">
        <v>2.3132999999999999</v>
      </c>
      <c r="AG34" s="144">
        <v>0.30259999999999998</v>
      </c>
      <c r="AH34" s="144">
        <v>1.4298</v>
      </c>
      <c r="AI34" s="145">
        <f t="shared" si="8"/>
        <v>81334135.994800001</v>
      </c>
      <c r="AJ34" s="145">
        <f t="shared" si="9"/>
        <v>9624207.0118999984</v>
      </c>
      <c r="AK34" s="145">
        <f t="shared" si="10"/>
        <v>65952901.004299998</v>
      </c>
      <c r="AL34" s="152">
        <f t="shared" si="11"/>
        <v>248770273.68367672</v>
      </c>
      <c r="AM34" s="145">
        <f t="shared" si="12"/>
        <v>271140827.44769996</v>
      </c>
      <c r="AN34" s="145">
        <f t="shared" si="13"/>
        <v>676822345.14237666</v>
      </c>
      <c r="AO34" s="169">
        <v>3017811.62</v>
      </c>
      <c r="AP34" s="159">
        <v>521295</v>
      </c>
      <c r="AQ34" s="149">
        <v>11860959.120000001</v>
      </c>
      <c r="AR34" s="149">
        <v>750000</v>
      </c>
      <c r="AS34" s="145">
        <f t="shared" si="32"/>
        <v>16150065.740000002</v>
      </c>
      <c r="AT34" s="145">
        <f t="shared" si="14"/>
        <v>660672279.40237665</v>
      </c>
      <c r="AU34" s="145">
        <f t="shared" si="15"/>
        <v>600460685.2423712</v>
      </c>
      <c r="AV34" s="145">
        <f t="shared" si="33"/>
        <v>60211594.16000545</v>
      </c>
      <c r="AW34" s="149">
        <f t="shared" si="16"/>
        <v>1.7069540283251474</v>
      </c>
      <c r="AX34" s="133">
        <v>0.43</v>
      </c>
      <c r="AY34" s="133">
        <v>0.48</v>
      </c>
      <c r="AZ34" s="150">
        <v>0.1</v>
      </c>
      <c r="BA34" s="145">
        <f t="shared" si="17"/>
        <v>25890985.488802344</v>
      </c>
      <c r="BB34" s="145">
        <f t="shared" si="18"/>
        <v>28901565.196802616</v>
      </c>
      <c r="BC34" s="145">
        <f t="shared" si="19"/>
        <v>6021159.416000545</v>
      </c>
      <c r="BD34" s="145">
        <f t="shared" si="20"/>
        <v>0.20117501385814912</v>
      </c>
      <c r="BE34" s="145">
        <f t="shared" si="21"/>
        <v>0.26834878236139792</v>
      </c>
      <c r="BF34" s="145">
        <f t="shared" si="22"/>
        <v>2.949126771325537E-2</v>
      </c>
      <c r="BG34" s="145">
        <f t="shared" si="23"/>
        <v>2.4508750138581488</v>
      </c>
      <c r="BH34" s="145">
        <f t="shared" si="24"/>
        <v>2.5816487823613978</v>
      </c>
      <c r="BI34" s="145">
        <f t="shared" si="25"/>
        <v>0.33209126771325537</v>
      </c>
      <c r="BJ34" s="154">
        <f t="shared" si="26"/>
        <v>4.2285158773114763E-2</v>
      </c>
      <c r="BK34" s="154">
        <f t="shared" si="27"/>
        <v>3.3732575046032061E-2</v>
      </c>
      <c r="BL34" s="154">
        <f t="shared" si="28"/>
        <v>5.9679981454914773E-2</v>
      </c>
      <c r="BM34" s="145">
        <f t="shared" si="29"/>
        <v>1.9318851151901584</v>
      </c>
    </row>
    <row r="35" spans="1:65" ht="18" customHeight="1" x14ac:dyDescent="0.25">
      <c r="A35" s="11">
        <v>2011</v>
      </c>
      <c r="B35" s="12" t="s">
        <v>7</v>
      </c>
      <c r="C35" s="25">
        <v>3361817762</v>
      </c>
      <c r="D35" s="26">
        <f t="shared" si="38"/>
        <v>122043338</v>
      </c>
      <c r="E35" s="27">
        <f t="shared" si="39"/>
        <v>295991341</v>
      </c>
      <c r="F35" s="29">
        <v>9255074</v>
      </c>
      <c r="G35" s="26">
        <v>9987514</v>
      </c>
      <c r="H35" s="28">
        <v>10119968</v>
      </c>
      <c r="I35" s="26">
        <v>46260883</v>
      </c>
      <c r="J35" s="26">
        <v>46419899</v>
      </c>
      <c r="K35" s="30">
        <f t="shared" si="40"/>
        <v>122043338</v>
      </c>
      <c r="L35" s="31">
        <v>392496238</v>
      </c>
      <c r="M35" s="32">
        <v>43447622</v>
      </c>
      <c r="N35" s="26">
        <v>12281133</v>
      </c>
      <c r="O35" s="26">
        <v>8070670</v>
      </c>
      <c r="P35" s="26">
        <v>101898874</v>
      </c>
      <c r="Q35" s="26">
        <v>130293042</v>
      </c>
      <c r="R35" s="27">
        <f t="shared" si="41"/>
        <v>295991341</v>
      </c>
      <c r="S35" s="28">
        <f>Q35*'Order 30 Components'!AG11</f>
        <v>44538110.760645628</v>
      </c>
      <c r="T35" s="28">
        <f t="shared" si="30"/>
        <v>85754931.239354372</v>
      </c>
      <c r="U35" s="28">
        <f>R35*'Order 30 Components'!AG11</f>
        <v>101178811.44911812</v>
      </c>
      <c r="V35" s="143">
        <f t="shared" si="31"/>
        <v>194812529.55088186</v>
      </c>
      <c r="W35" s="154">
        <f t="shared" si="4"/>
        <v>3.6302782197032132E-2</v>
      </c>
      <c r="X35" s="154">
        <f t="shared" si="5"/>
        <v>8.8045028599024938E-2</v>
      </c>
      <c r="Y35" s="154">
        <f t="shared" si="6"/>
        <v>3.0096459300317697E-2</v>
      </c>
      <c r="Z35" s="154">
        <f t="shared" si="7"/>
        <v>5.7948569298707231E-2</v>
      </c>
      <c r="AA35" s="144">
        <v>12.82</v>
      </c>
      <c r="AB35" s="144">
        <v>2.27</v>
      </c>
      <c r="AC35" s="144">
        <v>1.5022</v>
      </c>
      <c r="AD35" s="144">
        <v>2.3772000000000002</v>
      </c>
      <c r="AE35" s="144">
        <v>2.3702000000000001</v>
      </c>
      <c r="AF35" s="144">
        <v>2.9807000000000001</v>
      </c>
      <c r="AG35" s="144">
        <v>0.33389999999999997</v>
      </c>
      <c r="AH35" s="144">
        <v>1.4694</v>
      </c>
      <c r="AI35" s="145">
        <f t="shared" si="8"/>
        <v>76897020.832000002</v>
      </c>
      <c r="AJ35" s="145">
        <f t="shared" si="9"/>
        <v>8770418.9998000003</v>
      </c>
      <c r="AK35" s="145">
        <f t="shared" si="10"/>
        <v>78371984.677000016</v>
      </c>
      <c r="AL35" s="152">
        <f t="shared" si="11"/>
        <v>271412762.89487684</v>
      </c>
      <c r="AM35" s="145">
        <f t="shared" si="12"/>
        <v>259377750.34219998</v>
      </c>
      <c r="AN35" s="145">
        <f t="shared" si="13"/>
        <v>694829937.74587679</v>
      </c>
      <c r="AO35" s="169">
        <v>2818687.92</v>
      </c>
      <c r="AP35" s="159">
        <v>487452.24</v>
      </c>
      <c r="AQ35" s="149">
        <v>11477675.729999999</v>
      </c>
      <c r="AR35" s="149">
        <v>750000</v>
      </c>
      <c r="AS35" s="145">
        <f t="shared" si="32"/>
        <v>15533815.889999999</v>
      </c>
      <c r="AT35" s="145">
        <f t="shared" si="14"/>
        <v>679296121.8558768</v>
      </c>
      <c r="AU35" s="145">
        <f t="shared" si="15"/>
        <v>655898706.63102591</v>
      </c>
      <c r="AV35" s="145">
        <f t="shared" si="33"/>
        <v>23397415.224850893</v>
      </c>
      <c r="AW35" s="149">
        <f t="shared" si="16"/>
        <v>0.69597512064221445</v>
      </c>
      <c r="AX35" s="133">
        <v>0.43</v>
      </c>
      <c r="AY35" s="133">
        <v>0.48</v>
      </c>
      <c r="AZ35" s="150">
        <v>0.1</v>
      </c>
      <c r="BA35" s="145">
        <f t="shared" si="17"/>
        <v>10060888.546685884</v>
      </c>
      <c r="BB35" s="145">
        <f t="shared" si="18"/>
        <v>11230759.307928428</v>
      </c>
      <c r="BC35" s="145">
        <f t="shared" si="19"/>
        <v>2339741.5224850895</v>
      </c>
      <c r="BD35" s="145">
        <f t="shared" si="20"/>
        <v>8.2437015502524885E-2</v>
      </c>
      <c r="BE35" s="145">
        <f t="shared" si="21"/>
        <v>0.11099912271233066</v>
      </c>
      <c r="BF35" s="145">
        <f t="shared" si="22"/>
        <v>1.2010220943586624E-2</v>
      </c>
      <c r="BG35" s="145">
        <f t="shared" si="23"/>
        <v>2.4526370155025248</v>
      </c>
      <c r="BH35" s="145">
        <f t="shared" si="24"/>
        <v>3.0916991227123307</v>
      </c>
      <c r="BI35" s="145">
        <f t="shared" si="25"/>
        <v>0.34591022094358659</v>
      </c>
      <c r="BJ35" s="154">
        <f t="shared" si="26"/>
        <v>4.2102782197032132E-2</v>
      </c>
      <c r="BK35" s="154">
        <f t="shared" si="27"/>
        <v>3.3296459300317695E-2</v>
      </c>
      <c r="BL35" s="154">
        <f t="shared" si="28"/>
        <v>5.9748569298707234E-2</v>
      </c>
      <c r="BM35" s="145">
        <f t="shared" si="29"/>
        <v>0.78842989987789236</v>
      </c>
    </row>
    <row r="36" spans="1:65" ht="18" customHeight="1" x14ac:dyDescent="0.25">
      <c r="A36" s="11">
        <v>2011</v>
      </c>
      <c r="B36" s="12" t="s">
        <v>8</v>
      </c>
      <c r="C36" s="25">
        <v>3390297942</v>
      </c>
      <c r="D36" s="26">
        <f t="shared" si="38"/>
        <v>120951781</v>
      </c>
      <c r="E36" s="27">
        <f t="shared" si="39"/>
        <v>297209156</v>
      </c>
      <c r="F36" s="29">
        <v>9202978</v>
      </c>
      <c r="G36" s="26">
        <v>9233172</v>
      </c>
      <c r="H36" s="28">
        <v>9486334</v>
      </c>
      <c r="I36" s="26">
        <v>46204049</v>
      </c>
      <c r="J36" s="26">
        <v>46825248</v>
      </c>
      <c r="K36" s="30">
        <f t="shared" si="40"/>
        <v>120951781</v>
      </c>
      <c r="L36" s="31">
        <v>380080942</v>
      </c>
      <c r="M36" s="32">
        <v>42115504</v>
      </c>
      <c r="N36" s="26">
        <v>12062357</v>
      </c>
      <c r="O36" s="26">
        <v>7814172</v>
      </c>
      <c r="P36" s="26">
        <v>102092224</v>
      </c>
      <c r="Q36" s="26">
        <v>133124899</v>
      </c>
      <c r="R36" s="27">
        <f t="shared" si="41"/>
        <v>297209156</v>
      </c>
      <c r="S36" s="28">
        <f>Q36*'Order 30 Components'!AG12</f>
        <v>45189801.579324596</v>
      </c>
      <c r="T36" s="28">
        <f t="shared" si="30"/>
        <v>87935097.420675397</v>
      </c>
      <c r="U36" s="28">
        <f>R36*'Order 30 Components'!AG12</f>
        <v>100888886.21202657</v>
      </c>
      <c r="V36" s="143">
        <f t="shared" si="31"/>
        <v>196320269.78797343</v>
      </c>
      <c r="W36" s="154">
        <f t="shared" si="4"/>
        <v>3.5675855948120089E-2</v>
      </c>
      <c r="X36" s="154">
        <f t="shared" si="5"/>
        <v>8.766461269320501E-2</v>
      </c>
      <c r="Y36" s="154">
        <f t="shared" si="6"/>
        <v>2.9758117999655904E-2</v>
      </c>
      <c r="Z36" s="154">
        <f t="shared" si="7"/>
        <v>5.7906494693549103E-2</v>
      </c>
      <c r="AA36" s="144">
        <v>13.17</v>
      </c>
      <c r="AB36" s="144">
        <v>2.3769999999999998</v>
      </c>
      <c r="AC36" s="144">
        <v>1.5410999999999999</v>
      </c>
      <c r="AD36" s="144">
        <v>2.2581000000000002</v>
      </c>
      <c r="AE36" s="144">
        <v>2.2511000000000001</v>
      </c>
      <c r="AF36" s="144">
        <v>3.8292000000000002</v>
      </c>
      <c r="AG36" s="144">
        <v>0.36080000000000001</v>
      </c>
      <c r="AH36" s="144">
        <v>1.4336</v>
      </c>
      <c r="AI36" s="145">
        <f t="shared" si="8"/>
        <v>77478750.644199997</v>
      </c>
      <c r="AJ36" s="145">
        <f t="shared" si="9"/>
        <v>8498568.6528000012</v>
      </c>
      <c r="AK36" s="145">
        <f t="shared" si="10"/>
        <v>72902235.340499997</v>
      </c>
      <c r="AL36" s="152">
        <f t="shared" si="11"/>
        <v>310176087.12972939</v>
      </c>
      <c r="AM36" s="145">
        <f t="shared" si="12"/>
        <v>250369347.03030002</v>
      </c>
      <c r="AN36" s="145">
        <f t="shared" si="13"/>
        <v>719424988.79752946</v>
      </c>
      <c r="AO36" s="169">
        <v>2799084.63</v>
      </c>
      <c r="AP36" s="159">
        <v>503646.96</v>
      </c>
      <c r="AQ36" s="149">
        <v>11863170.49</v>
      </c>
      <c r="AR36" s="149">
        <v>750000</v>
      </c>
      <c r="AS36" s="145">
        <f t="shared" si="32"/>
        <v>15915902.08</v>
      </c>
      <c r="AT36" s="145">
        <f t="shared" si="14"/>
        <v>703509086.71752942</v>
      </c>
      <c r="AU36" s="145">
        <f t="shared" si="15"/>
        <v>729430630.63169301</v>
      </c>
      <c r="AV36" s="145">
        <f t="shared" si="33"/>
        <v>-25921543.914163589</v>
      </c>
      <c r="AW36" s="149">
        <f t="shared" si="16"/>
        <v>-0.76458011530608971</v>
      </c>
      <c r="AX36" s="133">
        <v>0.43</v>
      </c>
      <c r="AY36" s="133">
        <v>0.48</v>
      </c>
      <c r="AZ36" s="150">
        <v>0.1</v>
      </c>
      <c r="BA36" s="145">
        <f t="shared" si="17"/>
        <v>-11146263.883090343</v>
      </c>
      <c r="BB36" s="145">
        <f t="shared" si="18"/>
        <v>-12442341.078798523</v>
      </c>
      <c r="BC36" s="145">
        <f t="shared" si="19"/>
        <v>-2592154.3914163592</v>
      </c>
      <c r="BD36" s="145">
        <f t="shared" si="20"/>
        <v>-9.2154607323147592E-2</v>
      </c>
      <c r="BE36" s="145">
        <f t="shared" si="21"/>
        <v>-0.12332717255545755</v>
      </c>
      <c r="BF36" s="145">
        <f t="shared" si="22"/>
        <v>-1.3203702267809101E-2</v>
      </c>
      <c r="BG36" s="145">
        <f t="shared" si="23"/>
        <v>2.1589453926768525</v>
      </c>
      <c r="BH36" s="145">
        <f t="shared" si="24"/>
        <v>3.7058728274445425</v>
      </c>
      <c r="BI36" s="145">
        <f t="shared" si="25"/>
        <v>0.34759629773219092</v>
      </c>
      <c r="BJ36" s="154">
        <f t="shared" si="26"/>
        <v>4.1475855948120088E-2</v>
      </c>
      <c r="BK36" s="154">
        <f t="shared" si="27"/>
        <v>3.2958117999655902E-2</v>
      </c>
      <c r="BL36" s="154">
        <f t="shared" si="28"/>
        <v>5.9706494693549106E-2</v>
      </c>
      <c r="BM36" s="145">
        <f t="shared" si="29"/>
        <v>-0.8675169503325284</v>
      </c>
    </row>
    <row r="37" spans="1:65" ht="18" customHeight="1" x14ac:dyDescent="0.25">
      <c r="A37" s="11">
        <v>2011</v>
      </c>
      <c r="B37" s="12" t="s">
        <v>259</v>
      </c>
      <c r="C37" s="25">
        <v>3356387792</v>
      </c>
      <c r="D37" s="26">
        <f t="shared" si="38"/>
        <v>120689078</v>
      </c>
      <c r="E37" s="27">
        <f t="shared" si="39"/>
        <v>295383281</v>
      </c>
      <c r="F37" s="29">
        <v>10100017</v>
      </c>
      <c r="G37" s="26">
        <v>8713567</v>
      </c>
      <c r="H37" s="28">
        <v>9626495</v>
      </c>
      <c r="I37" s="26">
        <v>44137753</v>
      </c>
      <c r="J37" s="26">
        <v>48111246</v>
      </c>
      <c r="K37" s="30">
        <f t="shared" si="40"/>
        <v>120689078</v>
      </c>
      <c r="L37" s="31">
        <v>424487185</v>
      </c>
      <c r="M37" s="32">
        <v>47066168</v>
      </c>
      <c r="N37" s="26">
        <v>12250000</v>
      </c>
      <c r="O37" s="26">
        <v>7918948</v>
      </c>
      <c r="P37" s="26">
        <v>92563688</v>
      </c>
      <c r="Q37" s="26">
        <v>135584477</v>
      </c>
      <c r="R37" s="27">
        <f t="shared" si="41"/>
        <v>295383281</v>
      </c>
      <c r="S37" s="28">
        <f>Q37*'Order 30 Components'!AG13</f>
        <v>46375111.637969494</v>
      </c>
      <c r="T37" s="28">
        <f t="shared" si="30"/>
        <v>89209365.362030506</v>
      </c>
      <c r="U37" s="28">
        <f>R37*'Order 30 Components'!AG13</f>
        <v>101032455.45111121</v>
      </c>
      <c r="V37" s="143">
        <f t="shared" si="31"/>
        <v>194350825.5488888</v>
      </c>
      <c r="W37" s="154">
        <f t="shared" si="4"/>
        <v>3.595802555582648E-2</v>
      </c>
      <c r="X37" s="154">
        <f t="shared" si="5"/>
        <v>8.8006302997541114E-2</v>
      </c>
      <c r="Y37" s="154">
        <f t="shared" si="6"/>
        <v>3.0101544193410417E-2</v>
      </c>
      <c r="Z37" s="154">
        <f t="shared" si="7"/>
        <v>5.79047588041307E-2</v>
      </c>
      <c r="AA37" s="144">
        <v>14.05</v>
      </c>
      <c r="AB37" s="144">
        <v>2.2496</v>
      </c>
      <c r="AC37" s="144">
        <v>1.5522</v>
      </c>
      <c r="AD37" s="144">
        <v>2.3054999999999999</v>
      </c>
      <c r="AE37" s="144">
        <v>2.2985000000000002</v>
      </c>
      <c r="AF37" s="144">
        <v>3.8304999999999998</v>
      </c>
      <c r="AG37" s="144">
        <v>0.38109999999999999</v>
      </c>
      <c r="AH37" s="144">
        <v>1.3919999999999999</v>
      </c>
      <c r="AI37" s="145">
        <f t="shared" si="8"/>
        <v>88974244.339700013</v>
      </c>
      <c r="AJ37" s="145">
        <f t="shared" si="9"/>
        <v>9488571.3890000004</v>
      </c>
      <c r="AK37" s="145">
        <f t="shared" si="10"/>
        <v>73589254.026600003</v>
      </c>
      <c r="AL37" s="152">
        <f t="shared" si="11"/>
        <v>322221253.19971198</v>
      </c>
      <c r="AM37" s="145">
        <f t="shared" si="12"/>
        <v>230299278.96649998</v>
      </c>
      <c r="AN37" s="145">
        <f t="shared" si="13"/>
        <v>724572601.92151189</v>
      </c>
      <c r="AO37" s="169">
        <v>2949715.8800000004</v>
      </c>
      <c r="AP37" s="159">
        <v>542930.82999999996</v>
      </c>
      <c r="AQ37" s="149">
        <v>11862363.15</v>
      </c>
      <c r="AR37" s="149">
        <v>750000</v>
      </c>
      <c r="AS37" s="145">
        <f t="shared" si="32"/>
        <v>16105009.860000001</v>
      </c>
      <c r="AT37" s="145">
        <f t="shared" si="14"/>
        <v>708467592.06151187</v>
      </c>
      <c r="AU37" s="145">
        <f t="shared" si="15"/>
        <v>738475766.00516319</v>
      </c>
      <c r="AV37" s="145">
        <f t="shared" si="33"/>
        <v>-30008173.943651319</v>
      </c>
      <c r="AW37" s="149">
        <f t="shared" si="16"/>
        <v>-0.89406158654182466</v>
      </c>
      <c r="AX37" s="133">
        <v>0.43</v>
      </c>
      <c r="AY37" s="133">
        <v>0.48</v>
      </c>
      <c r="AZ37" s="150">
        <v>0.1</v>
      </c>
      <c r="BA37" s="145">
        <f t="shared" si="17"/>
        <v>-12903514.795770066</v>
      </c>
      <c r="BB37" s="145">
        <f t="shared" si="18"/>
        <v>-14403923.492952632</v>
      </c>
      <c r="BC37" s="145">
        <f t="shared" si="19"/>
        <v>-3000817.3943651319</v>
      </c>
      <c r="BD37" s="145">
        <f t="shared" si="20"/>
        <v>-0.10691534817897992</v>
      </c>
      <c r="BE37" s="145">
        <f t="shared" si="21"/>
        <v>-0.14256729116043879</v>
      </c>
      <c r="BF37" s="145">
        <f t="shared" si="22"/>
        <v>-1.5440209146990623E-2</v>
      </c>
      <c r="BG37" s="145">
        <f t="shared" si="23"/>
        <v>2.1915846518210205</v>
      </c>
      <c r="BH37" s="145">
        <f t="shared" si="24"/>
        <v>3.6879327088395608</v>
      </c>
      <c r="BI37" s="145">
        <f t="shared" si="25"/>
        <v>0.36565979085300937</v>
      </c>
      <c r="BJ37" s="154">
        <f t="shared" si="26"/>
        <v>4.1758025555826479E-2</v>
      </c>
      <c r="BK37" s="154">
        <f t="shared" si="27"/>
        <v>3.3301544193410415E-2</v>
      </c>
      <c r="BL37" s="154">
        <f t="shared" si="28"/>
        <v>5.9704758804130703E-2</v>
      </c>
      <c r="BM37" s="145">
        <f t="shared" si="29"/>
        <v>-1.01341387516885</v>
      </c>
    </row>
    <row r="38" spans="1:65" ht="18" customHeight="1" x14ac:dyDescent="0.25">
      <c r="A38" s="11">
        <v>2011</v>
      </c>
      <c r="B38" s="12" t="s">
        <v>260</v>
      </c>
      <c r="C38" s="25">
        <v>3174956443</v>
      </c>
      <c r="D38" s="26">
        <f t="shared" si="38"/>
        <v>115154239</v>
      </c>
      <c r="E38" s="27">
        <f t="shared" si="39"/>
        <v>280237926</v>
      </c>
      <c r="F38" s="29">
        <v>9755534</v>
      </c>
      <c r="G38" s="26">
        <v>8240995</v>
      </c>
      <c r="H38" s="28">
        <v>7448256</v>
      </c>
      <c r="I38" s="26">
        <v>43914048</v>
      </c>
      <c r="J38" s="26">
        <v>45795406</v>
      </c>
      <c r="K38" s="30">
        <f t="shared" si="40"/>
        <v>115154239</v>
      </c>
      <c r="L38" s="31">
        <v>423519311</v>
      </c>
      <c r="M38" s="32">
        <v>47049249</v>
      </c>
      <c r="N38" s="26">
        <v>11498880</v>
      </c>
      <c r="O38" s="26">
        <v>6253481</v>
      </c>
      <c r="P38" s="26">
        <v>85845646</v>
      </c>
      <c r="Q38" s="26">
        <v>129590670</v>
      </c>
      <c r="R38" s="27">
        <f t="shared" si="41"/>
        <v>280237926</v>
      </c>
      <c r="S38" s="28">
        <f>Q38*'Order 30 Components'!AG14</f>
        <v>45117973.120031744</v>
      </c>
      <c r="T38" s="28">
        <f t="shared" si="30"/>
        <v>84472696.879968256</v>
      </c>
      <c r="U38" s="28">
        <f>R38*'Order 30 Components'!AG14</f>
        <v>97566956.112515241</v>
      </c>
      <c r="V38" s="143">
        <f t="shared" si="31"/>
        <v>182670969.88748476</v>
      </c>
      <c r="W38" s="154">
        <f t="shared" ref="W38:W69" si="42">D38/C38</f>
        <v>3.6269549226064769E-2</v>
      </c>
      <c r="X38" s="154">
        <f t="shared" ref="X38:X69" si="43">R38/C38</f>
        <v>8.826512458709658E-2</v>
      </c>
      <c r="Y38" s="154">
        <f t="shared" ref="Y38:Y69" si="44">U38/C38</f>
        <v>3.0730171535936011E-2</v>
      </c>
      <c r="Z38" s="154">
        <f t="shared" ref="Z38:Z69" si="45">V38/C38</f>
        <v>5.7534953051160569E-2</v>
      </c>
      <c r="AA38" s="144">
        <v>14.16</v>
      </c>
      <c r="AB38" s="144">
        <v>2.3174999999999999</v>
      </c>
      <c r="AC38" s="144">
        <v>1.4766999999999999</v>
      </c>
      <c r="AD38" s="144">
        <v>2.2075</v>
      </c>
      <c r="AE38" s="144">
        <v>2.2004999999999999</v>
      </c>
      <c r="AF38" s="144">
        <v>3.0282</v>
      </c>
      <c r="AG38" s="144">
        <v>0.40529999999999999</v>
      </c>
      <c r="AH38" s="144">
        <v>1.3623000000000001</v>
      </c>
      <c r="AI38" s="145">
        <f t="shared" ref="AI38:AI69" si="46">((L38+M38)*(AA38/100))+(F38*AB38)</f>
        <v>89240958.141000003</v>
      </c>
      <c r="AJ38" s="145">
        <f t="shared" ref="AJ38:AJ69" si="47">((F38+L38+M38)/100)*1.97</f>
        <v>9462384.651800001</v>
      </c>
      <c r="AK38" s="145">
        <f t="shared" ref="AK38:AK69" si="48">(G38+H38)*AD38+(N38+O38)*AC38</f>
        <v>60848933.071199998</v>
      </c>
      <c r="AL38" s="152">
        <f t="shared" ref="AL38:AL69" si="49">S38*AF38+T38*AG38+J38*AE38</f>
        <v>271635821.15053129</v>
      </c>
      <c r="AM38" s="145">
        <f t="shared" ref="AM38:AM69" si="50">I38*AE38+P38*AH38</f>
        <v>213580386.16979998</v>
      </c>
      <c r="AN38" s="145">
        <f t="shared" ref="AN38:AN65" si="51">SUM(AI38:AM38)</f>
        <v>644768483.1843313</v>
      </c>
      <c r="AO38" s="169">
        <v>2948582.7300000004</v>
      </c>
      <c r="AP38" s="159">
        <v>527034.68999999994</v>
      </c>
      <c r="AQ38" s="149">
        <v>11478692.100000001</v>
      </c>
      <c r="AR38" s="149">
        <v>750000</v>
      </c>
      <c r="AS38" s="145">
        <f t="shared" si="32"/>
        <v>15704309.520000001</v>
      </c>
      <c r="AT38" s="145">
        <f t="shared" ref="AT38:AT69" si="52">AN38-AS38</f>
        <v>629064173.66433132</v>
      </c>
      <c r="AU38" s="145">
        <f t="shared" ref="AU38:AU69" si="53">(K38*AE38)+(U38*AF38)+(V38*AG38)</f>
        <v>622885703.51481616</v>
      </c>
      <c r="AV38" s="145">
        <f t="shared" si="33"/>
        <v>6178470.149515152</v>
      </c>
      <c r="AW38" s="149">
        <f t="shared" ref="AW38:AW69" si="54">AV38/(C38/100)</f>
        <v>0.19460015469305611</v>
      </c>
      <c r="AX38" s="133">
        <v>0.43</v>
      </c>
      <c r="AY38" s="133">
        <v>0.48</v>
      </c>
      <c r="AZ38" s="150">
        <v>0.1</v>
      </c>
      <c r="BA38" s="145">
        <f t="shared" ref="BA38:BA69" si="55">AV38*AX38</f>
        <v>2656742.1642915155</v>
      </c>
      <c r="BB38" s="145">
        <f t="shared" ref="BB38:BB69" si="56">AV38*AY38</f>
        <v>2965665.671767273</v>
      </c>
      <c r="BC38" s="145">
        <f t="shared" ref="BC38:BC69" si="57">AV38*AZ38</f>
        <v>617847.01495151524</v>
      </c>
      <c r="BD38" s="145">
        <f t="shared" ref="BD38:BD69" si="58">BA38/K38</f>
        <v>2.3071162532640379E-2</v>
      </c>
      <c r="BE38" s="145">
        <f t="shared" ref="BE38:BE69" si="59">BB38/U38</f>
        <v>3.0396209843291985E-2</v>
      </c>
      <c r="BF38" s="145">
        <f t="shared" ref="BF38:BF69" si="60">BC38/V38</f>
        <v>3.3822944900991927E-3</v>
      </c>
      <c r="BG38" s="145">
        <f t="shared" ref="BG38:BG69" si="61">AE38+BD38</f>
        <v>2.2235711625326404</v>
      </c>
      <c r="BH38" s="145">
        <f t="shared" ref="BH38:BH69" si="62">AF38+BE38</f>
        <v>3.0585962098432922</v>
      </c>
      <c r="BI38" s="145">
        <f t="shared" ref="BI38:BI69" si="63">AG38+BF38</f>
        <v>0.40868229449009918</v>
      </c>
      <c r="BJ38" s="154">
        <f t="shared" ref="BJ38:BJ69" si="64">W38+(2*0.0029)</f>
        <v>4.2069549226064769E-2</v>
      </c>
      <c r="BK38" s="154">
        <f t="shared" ref="BK38:BK69" si="65">Y38+(2*0.0016)</f>
        <v>3.3930171535936013E-2</v>
      </c>
      <c r="BL38" s="154">
        <f t="shared" ref="BL38:BL69" si="66">Z38+(2*0.0009)</f>
        <v>5.9334953051160572E-2</v>
      </c>
      <c r="BM38" s="145">
        <f t="shared" ref="BM38:BM69" si="67">(BJ38*BD38+BK38*BE38+BL38*BF38)*100</f>
        <v>0.22026303066698941</v>
      </c>
    </row>
    <row r="39" spans="1:65" ht="18" customHeight="1" x14ac:dyDescent="0.25">
      <c r="A39" s="11">
        <v>2011</v>
      </c>
      <c r="B39" s="12" t="s">
        <v>261</v>
      </c>
      <c r="C39" s="25">
        <v>3282640006</v>
      </c>
      <c r="D39" s="26">
        <f t="shared" si="38"/>
        <v>121512725</v>
      </c>
      <c r="E39" s="27">
        <f t="shared" si="39"/>
        <v>291729908</v>
      </c>
      <c r="F39" s="29">
        <v>9968991</v>
      </c>
      <c r="G39" s="26">
        <v>9428306</v>
      </c>
      <c r="H39" s="28">
        <v>6952565</v>
      </c>
      <c r="I39" s="26">
        <v>47198268</v>
      </c>
      <c r="J39" s="26">
        <v>47964595</v>
      </c>
      <c r="K39" s="30">
        <f t="shared" si="40"/>
        <v>121512725</v>
      </c>
      <c r="L39" s="31">
        <v>434179112</v>
      </c>
      <c r="M39" s="32">
        <v>48477125</v>
      </c>
      <c r="N39" s="26">
        <v>12210871</v>
      </c>
      <c r="O39" s="26">
        <v>6191110</v>
      </c>
      <c r="P39" s="26">
        <v>88969805</v>
      </c>
      <c r="Q39" s="26">
        <v>135880997</v>
      </c>
      <c r="R39" s="27">
        <f t="shared" si="41"/>
        <v>291729908</v>
      </c>
      <c r="S39" s="28">
        <f>Q39*'Order 30 Components'!AG15</f>
        <v>48098604.669287808</v>
      </c>
      <c r="T39" s="28">
        <f t="shared" si="30"/>
        <v>87782392.330712199</v>
      </c>
      <c r="U39" s="28">
        <f>R39*'Order 30 Components'!AG15</f>
        <v>103265370.61764202</v>
      </c>
      <c r="V39" s="143">
        <f t="shared" si="31"/>
        <v>188464537.38235798</v>
      </c>
      <c r="W39" s="154">
        <f t="shared" si="42"/>
        <v>3.7016768447925875E-2</v>
      </c>
      <c r="X39" s="154">
        <f t="shared" si="43"/>
        <v>8.8870515032649602E-2</v>
      </c>
      <c r="Y39" s="154">
        <f t="shared" si="44"/>
        <v>3.1458024769360597E-2</v>
      </c>
      <c r="Z39" s="154">
        <f t="shared" si="45"/>
        <v>5.7412490263289012E-2</v>
      </c>
      <c r="AA39" s="144">
        <v>12.28</v>
      </c>
      <c r="AB39" s="144">
        <v>2.2014</v>
      </c>
      <c r="AC39" s="144">
        <v>1.4421999999999999</v>
      </c>
      <c r="AD39" s="144">
        <v>1.9661999999999999</v>
      </c>
      <c r="AE39" s="144">
        <v>1.9592000000000001</v>
      </c>
      <c r="AF39" s="144">
        <v>2.9211</v>
      </c>
      <c r="AG39" s="144">
        <v>0.42859999999999998</v>
      </c>
      <c r="AH39" s="144">
        <v>1.3297000000000001</v>
      </c>
      <c r="AI39" s="145">
        <f t="shared" si="46"/>
        <v>81215922.691</v>
      </c>
      <c r="AJ39" s="145">
        <f t="shared" si="47"/>
        <v>9704716.9916000012</v>
      </c>
      <c r="AK39" s="145">
        <f t="shared" si="48"/>
        <v>58747405.558399998</v>
      </c>
      <c r="AL39" s="152">
        <f t="shared" si="49"/>
        <v>272096601.97639984</v>
      </c>
      <c r="AM39" s="145">
        <f t="shared" si="50"/>
        <v>210773996.37410003</v>
      </c>
      <c r="AN39" s="145">
        <f t="shared" si="51"/>
        <v>632538643.59149981</v>
      </c>
      <c r="AO39" s="169">
        <v>3097534.7800000003</v>
      </c>
      <c r="AP39" s="159">
        <v>533684.22</v>
      </c>
      <c r="AQ39" s="149">
        <v>11857186.850000001</v>
      </c>
      <c r="AR39" s="149">
        <v>750000</v>
      </c>
      <c r="AS39" s="145">
        <f t="shared" si="32"/>
        <v>16238405.850000001</v>
      </c>
      <c r="AT39" s="145">
        <f t="shared" si="52"/>
        <v>616300237.74149978</v>
      </c>
      <c r="AU39" s="145">
        <f t="shared" si="53"/>
        <v>620492105.65327263</v>
      </c>
      <c r="AV39" s="145">
        <f t="shared" si="33"/>
        <v>-4191867.9117728472</v>
      </c>
      <c r="AW39" s="149">
        <f t="shared" si="54"/>
        <v>-0.12769806936218905</v>
      </c>
      <c r="AX39" s="133">
        <v>0.43</v>
      </c>
      <c r="AY39" s="133">
        <v>0.48</v>
      </c>
      <c r="AZ39" s="150">
        <v>0.1</v>
      </c>
      <c r="BA39" s="145">
        <f t="shared" si="55"/>
        <v>-1802503.2020623242</v>
      </c>
      <c r="BB39" s="145">
        <f t="shared" si="56"/>
        <v>-2012096.5976509666</v>
      </c>
      <c r="BC39" s="145">
        <f t="shared" si="57"/>
        <v>-419186.79117728473</v>
      </c>
      <c r="BD39" s="145">
        <f t="shared" si="58"/>
        <v>-1.483386371314053E-2</v>
      </c>
      <c r="BE39" s="145">
        <f t="shared" si="59"/>
        <v>-1.9484717728860956E-2</v>
      </c>
      <c r="BF39" s="145">
        <f t="shared" si="60"/>
        <v>-2.2242210497502566E-3</v>
      </c>
      <c r="BG39" s="145">
        <f t="shared" si="61"/>
        <v>1.9443661362868596</v>
      </c>
      <c r="BH39" s="145">
        <f t="shared" si="62"/>
        <v>2.901615282271139</v>
      </c>
      <c r="BI39" s="145">
        <f t="shared" si="63"/>
        <v>0.42637577895024975</v>
      </c>
      <c r="BJ39" s="154">
        <f t="shared" si="64"/>
        <v>4.2816768447925875E-2</v>
      </c>
      <c r="BK39" s="154">
        <f t="shared" si="65"/>
        <v>3.4658024769360599E-2</v>
      </c>
      <c r="BL39" s="154">
        <f t="shared" si="66"/>
        <v>5.9212490263289015E-2</v>
      </c>
      <c r="BM39" s="145">
        <f t="shared" si="67"/>
        <v>-0.144214160471623</v>
      </c>
    </row>
    <row r="40" spans="1:65" ht="18" customHeight="1" x14ac:dyDescent="0.25">
      <c r="A40" s="11">
        <v>2011</v>
      </c>
      <c r="B40" s="12" t="s">
        <v>262</v>
      </c>
      <c r="C40" s="25">
        <v>3205364283</v>
      </c>
      <c r="D40" s="26">
        <f t="shared" si="38"/>
        <v>121502692</v>
      </c>
      <c r="E40" s="27">
        <f t="shared" si="39"/>
        <v>287538431</v>
      </c>
      <c r="F40" s="29">
        <v>9983020</v>
      </c>
      <c r="G40" s="26">
        <v>10155562</v>
      </c>
      <c r="H40" s="28">
        <v>5661646</v>
      </c>
      <c r="I40" s="26">
        <v>49290931</v>
      </c>
      <c r="J40" s="26">
        <v>46411533</v>
      </c>
      <c r="K40" s="30">
        <f t="shared" si="40"/>
        <v>121502692</v>
      </c>
      <c r="L40" s="31">
        <v>432276464</v>
      </c>
      <c r="M40" s="32">
        <v>48221500</v>
      </c>
      <c r="N40" s="26">
        <v>11753624</v>
      </c>
      <c r="O40" s="26">
        <v>5311004</v>
      </c>
      <c r="P40" s="26">
        <v>92437337</v>
      </c>
      <c r="Q40" s="26">
        <v>129814966</v>
      </c>
      <c r="R40" s="27">
        <f t="shared" si="41"/>
        <v>287538431</v>
      </c>
      <c r="S40" s="28">
        <f>Q40*'Order 30 Components'!AG16</f>
        <v>46158073.823206119</v>
      </c>
      <c r="T40" s="28">
        <f t="shared" si="30"/>
        <v>83656892.176793873</v>
      </c>
      <c r="U40" s="28">
        <f>R40*'Order 30 Components'!AG16</f>
        <v>102239522.40689151</v>
      </c>
      <c r="V40" s="143">
        <f t="shared" si="31"/>
        <v>185298908.59310848</v>
      </c>
      <c r="W40" s="154">
        <f t="shared" si="42"/>
        <v>3.7906047884916798E-2</v>
      </c>
      <c r="X40" s="154">
        <f t="shared" si="43"/>
        <v>8.9705383105749173E-2</v>
      </c>
      <c r="Y40" s="154">
        <f t="shared" si="44"/>
        <v>3.1896381621624101E-2</v>
      </c>
      <c r="Z40" s="154">
        <f t="shared" si="45"/>
        <v>5.7809001484125065E-2</v>
      </c>
      <c r="AA40" s="144">
        <v>12.16</v>
      </c>
      <c r="AB40" s="144">
        <v>1.9178999999999999</v>
      </c>
      <c r="AC40" s="144">
        <v>1.4289000000000001</v>
      </c>
      <c r="AD40" s="144">
        <v>1.9578</v>
      </c>
      <c r="AE40" s="144">
        <v>1.9508000000000001</v>
      </c>
      <c r="AF40" s="144">
        <v>3.2341000000000002</v>
      </c>
      <c r="AG40" s="144">
        <v>0.4521</v>
      </c>
      <c r="AH40" s="144">
        <v>1.2716000000000001</v>
      </c>
      <c r="AI40" s="145">
        <f t="shared" si="46"/>
        <v>77574986.480399996</v>
      </c>
      <c r="AJ40" s="145">
        <f t="shared" si="47"/>
        <v>9662475.3848000001</v>
      </c>
      <c r="AK40" s="145">
        <f t="shared" si="48"/>
        <v>55350576.771600001</v>
      </c>
      <c r="AL40" s="152">
        <f t="shared" si="49"/>
        <v>277640726.08115941</v>
      </c>
      <c r="AM40" s="145">
        <f t="shared" si="50"/>
        <v>213700065.92400002</v>
      </c>
      <c r="AN40" s="145">
        <f t="shared" si="51"/>
        <v>633928830.64195943</v>
      </c>
      <c r="AO40" s="169">
        <v>2927138.01</v>
      </c>
      <c r="AP40" s="159">
        <v>471866.33</v>
      </c>
      <c r="AQ40" s="149">
        <v>11479445.869999999</v>
      </c>
      <c r="AR40" s="149">
        <v>750000</v>
      </c>
      <c r="AS40" s="145">
        <f t="shared" si="32"/>
        <v>15628450.209999999</v>
      </c>
      <c r="AT40" s="145">
        <f t="shared" si="52"/>
        <v>618300380.43195939</v>
      </c>
      <c r="AU40" s="145">
        <f t="shared" si="53"/>
        <v>651453927.54467225</v>
      </c>
      <c r="AV40" s="145">
        <f t="shared" si="33"/>
        <v>-33153547.11271286</v>
      </c>
      <c r="AW40" s="149">
        <f t="shared" si="54"/>
        <v>-1.0343144861426929</v>
      </c>
      <c r="AX40" s="133">
        <v>0.43</v>
      </c>
      <c r="AY40" s="133">
        <v>0.48</v>
      </c>
      <c r="AZ40" s="150">
        <v>0.1</v>
      </c>
      <c r="BA40" s="145">
        <f t="shared" si="55"/>
        <v>-14256025.258466529</v>
      </c>
      <c r="BB40" s="145">
        <f t="shared" si="56"/>
        <v>-15913702.614102172</v>
      </c>
      <c r="BC40" s="145">
        <f t="shared" si="57"/>
        <v>-3315354.711271286</v>
      </c>
      <c r="BD40" s="145">
        <f t="shared" si="58"/>
        <v>-0.11733094159318321</v>
      </c>
      <c r="BE40" s="145">
        <f t="shared" si="59"/>
        <v>-0.15565118302068184</v>
      </c>
      <c r="BF40" s="145">
        <f t="shared" si="60"/>
        <v>-1.7891927893387435E-2</v>
      </c>
      <c r="BG40" s="145">
        <f t="shared" si="61"/>
        <v>1.833469058406817</v>
      </c>
      <c r="BH40" s="145">
        <f t="shared" si="62"/>
        <v>3.0784488169793183</v>
      </c>
      <c r="BI40" s="145">
        <f t="shared" si="63"/>
        <v>0.43420807210661255</v>
      </c>
      <c r="BJ40" s="154">
        <f t="shared" si="64"/>
        <v>4.3706047884916797E-2</v>
      </c>
      <c r="BK40" s="154">
        <f t="shared" si="65"/>
        <v>3.5096381621624102E-2</v>
      </c>
      <c r="BL40" s="154">
        <f t="shared" si="66"/>
        <v>5.9609001484125068E-2</v>
      </c>
      <c r="BM40" s="145">
        <f t="shared" si="67"/>
        <v>-1.1657385027155938</v>
      </c>
    </row>
    <row r="41" spans="1:65" s="146" customFormat="1" ht="18" customHeight="1" x14ac:dyDescent="0.25">
      <c r="A41" s="85">
        <v>2011</v>
      </c>
      <c r="B41" s="86" t="s">
        <v>263</v>
      </c>
      <c r="C41" s="251">
        <v>3352871165</v>
      </c>
      <c r="D41" s="252">
        <f t="shared" si="38"/>
        <v>128306814</v>
      </c>
      <c r="E41" s="253">
        <f t="shared" si="39"/>
        <v>300967666</v>
      </c>
      <c r="F41" s="255">
        <v>10005335</v>
      </c>
      <c r="G41" s="252">
        <v>8993614</v>
      </c>
      <c r="H41" s="254">
        <v>4214257</v>
      </c>
      <c r="I41" s="252">
        <v>56054922</v>
      </c>
      <c r="J41" s="252">
        <v>49038686</v>
      </c>
      <c r="K41" s="256">
        <f t="shared" si="40"/>
        <v>128306814</v>
      </c>
      <c r="L41" s="257">
        <v>420946400</v>
      </c>
      <c r="M41" s="258">
        <v>46974062</v>
      </c>
      <c r="N41" s="252">
        <v>11158950</v>
      </c>
      <c r="O41" s="252">
        <v>4422485</v>
      </c>
      <c r="P41" s="252">
        <v>103281523</v>
      </c>
      <c r="Q41" s="252">
        <v>135130646</v>
      </c>
      <c r="R41" s="253">
        <f t="shared" si="41"/>
        <v>300967666</v>
      </c>
      <c r="S41" s="28">
        <f>Q41*'Order 30 Components'!AG17</f>
        <v>47947214.254758604</v>
      </c>
      <c r="T41" s="254">
        <f t="shared" si="30"/>
        <v>87183431.745241404</v>
      </c>
      <c r="U41" s="28">
        <f>R41*'Order 30 Components'!AG17</f>
        <v>106789700.13550165</v>
      </c>
      <c r="V41" s="259">
        <f t="shared" si="31"/>
        <v>194177965.86449835</v>
      </c>
      <c r="W41" s="260">
        <f t="shared" si="42"/>
        <v>3.8267743580299482E-2</v>
      </c>
      <c r="X41" s="154">
        <f t="shared" si="43"/>
        <v>8.9764160681670577E-2</v>
      </c>
      <c r="Y41" s="260">
        <f t="shared" si="44"/>
        <v>3.1850224741785345E-2</v>
      </c>
      <c r="Z41" s="260">
        <f t="shared" si="45"/>
        <v>5.7913935939885225E-2</v>
      </c>
      <c r="AA41" s="261">
        <v>11.82</v>
      </c>
      <c r="AB41" s="261">
        <v>2.0190999999999999</v>
      </c>
      <c r="AC41" s="261">
        <v>1.3755999999999999</v>
      </c>
      <c r="AD41" s="261">
        <v>1.7513000000000001</v>
      </c>
      <c r="AE41" s="261">
        <v>1.7443</v>
      </c>
      <c r="AF41" s="261">
        <v>3.3403999999999998</v>
      </c>
      <c r="AG41" s="261">
        <v>0.46829999999999999</v>
      </c>
      <c r="AH41" s="261">
        <v>1.2398</v>
      </c>
      <c r="AI41" s="263">
        <f t="shared" si="46"/>
        <v>75509970.506899998</v>
      </c>
      <c r="AJ41" s="263">
        <f t="shared" si="47"/>
        <v>9415138.2008999996</v>
      </c>
      <c r="AK41" s="263">
        <f t="shared" si="48"/>
        <v>44564766.4683</v>
      </c>
      <c r="AL41" s="264">
        <f t="shared" si="49"/>
        <v>286529055.57269216</v>
      </c>
      <c r="AM41" s="263">
        <f t="shared" si="50"/>
        <v>225825032.66</v>
      </c>
      <c r="AN41" s="263">
        <f t="shared" si="51"/>
        <v>641843963.40879214</v>
      </c>
      <c r="AO41" s="265">
        <v>2843099.34</v>
      </c>
      <c r="AP41" s="266">
        <v>457858.65</v>
      </c>
      <c r="AQ41" s="267">
        <v>11862058.800000001</v>
      </c>
      <c r="AR41" s="267">
        <v>750000</v>
      </c>
      <c r="AS41" s="263">
        <f t="shared" si="32"/>
        <v>15913016.790000001</v>
      </c>
      <c r="AT41" s="263">
        <f t="shared" si="52"/>
        <v>625930946.61879218</v>
      </c>
      <c r="AU41" s="263">
        <f t="shared" si="53"/>
        <v>671459431.40717423</v>
      </c>
      <c r="AV41" s="263">
        <f t="shared" si="33"/>
        <v>-45528484.788382053</v>
      </c>
      <c r="AW41" s="267">
        <f t="shared" si="54"/>
        <v>-1.3578954438704791</v>
      </c>
      <c r="AX41" s="262">
        <v>0.43</v>
      </c>
      <c r="AY41" s="262">
        <v>0.48</v>
      </c>
      <c r="AZ41" s="268">
        <v>0.1</v>
      </c>
      <c r="BA41" s="263">
        <f t="shared" si="55"/>
        <v>-19577248.459004283</v>
      </c>
      <c r="BB41" s="263">
        <f t="shared" si="56"/>
        <v>-21853672.698423386</v>
      </c>
      <c r="BC41" s="263">
        <f t="shared" si="57"/>
        <v>-4552848.4788382053</v>
      </c>
      <c r="BD41" s="263">
        <f t="shared" si="58"/>
        <v>-0.15258151807124043</v>
      </c>
      <c r="BE41" s="263">
        <f t="shared" si="59"/>
        <v>-0.20464213937012687</v>
      </c>
      <c r="BF41" s="263">
        <f t="shared" si="60"/>
        <v>-2.3446782226647089E-2</v>
      </c>
      <c r="BG41" s="263">
        <f t="shared" si="61"/>
        <v>1.5917184819287595</v>
      </c>
      <c r="BH41" s="263">
        <f t="shared" si="62"/>
        <v>3.1357578606298731</v>
      </c>
      <c r="BI41" s="263">
        <f t="shared" si="63"/>
        <v>0.4448532177733529</v>
      </c>
      <c r="BJ41" s="260">
        <f t="shared" si="64"/>
        <v>4.4067743580299482E-2</v>
      </c>
      <c r="BK41" s="260">
        <f t="shared" si="65"/>
        <v>3.5050224741785346E-2</v>
      </c>
      <c r="BL41" s="260">
        <f t="shared" si="66"/>
        <v>5.9713935939885228E-2</v>
      </c>
      <c r="BM41" s="263">
        <f t="shared" si="67"/>
        <v>-1.5296775841897405</v>
      </c>
    </row>
    <row r="42" spans="1:65" ht="18" customHeight="1" x14ac:dyDescent="0.25">
      <c r="A42" s="11">
        <v>2012</v>
      </c>
      <c r="B42" s="12" t="s">
        <v>255</v>
      </c>
      <c r="C42" s="25">
        <v>3503922644</v>
      </c>
      <c r="D42" s="26">
        <f t="shared" ref="D42:D53" si="68">+K42</f>
        <v>132651332</v>
      </c>
      <c r="E42" s="27">
        <f t="shared" ref="E42:E53" si="69">+R42</f>
        <v>312805151</v>
      </c>
      <c r="F42" s="29">
        <v>10022939</v>
      </c>
      <c r="G42" s="26">
        <v>7684366</v>
      </c>
      <c r="H42" s="28">
        <v>5618060</v>
      </c>
      <c r="I42" s="26">
        <v>59046312</v>
      </c>
      <c r="J42" s="26">
        <v>50279655</v>
      </c>
      <c r="K42" s="30">
        <f t="shared" ref="K42:K53" si="70">SUM(F42:J42)</f>
        <v>132651332</v>
      </c>
      <c r="L42" s="31">
        <v>438031771</v>
      </c>
      <c r="M42" s="32">
        <v>48800744</v>
      </c>
      <c r="N42" s="26">
        <v>12312058</v>
      </c>
      <c r="O42" s="26">
        <v>5815276</v>
      </c>
      <c r="P42" s="26">
        <v>107976680</v>
      </c>
      <c r="Q42" s="26">
        <v>137900393</v>
      </c>
      <c r="R42" s="27">
        <f t="shared" ref="R42:R53" si="71">SUM(M42:Q42)</f>
        <v>312805151</v>
      </c>
      <c r="S42" s="28">
        <f>Q42*'Order 30 Components'!AG6</f>
        <v>48602805.101547994</v>
      </c>
      <c r="T42" s="28">
        <f t="shared" si="30"/>
        <v>89297587.898452014</v>
      </c>
      <c r="U42" s="28">
        <f>R42*'Order 30 Components'!AG6</f>
        <v>110247748.0888201</v>
      </c>
      <c r="V42" s="143">
        <f t="shared" si="31"/>
        <v>202557402.9111799</v>
      </c>
      <c r="W42" s="154">
        <f t="shared" si="42"/>
        <v>3.7857951067255355E-2</v>
      </c>
      <c r="X42" s="154">
        <f t="shared" si="43"/>
        <v>8.9272847257526391E-2</v>
      </c>
      <c r="Y42" s="154">
        <f t="shared" si="44"/>
        <v>3.1464093043721914E-2</v>
      </c>
      <c r="Z42" s="154">
        <f t="shared" si="45"/>
        <v>5.7808754213804471E-2</v>
      </c>
      <c r="AA42" s="144">
        <v>13.17</v>
      </c>
      <c r="AB42" s="144">
        <v>1.7395</v>
      </c>
      <c r="AC42" s="144">
        <v>1.3389</v>
      </c>
      <c r="AD42" s="144">
        <v>1.7248000000000001</v>
      </c>
      <c r="AE42" s="144">
        <v>1.7178</v>
      </c>
      <c r="AF42" s="144">
        <v>2.7326000000000001</v>
      </c>
      <c r="AG42" s="144">
        <v>0.50319999999999998</v>
      </c>
      <c r="AH42" s="144">
        <v>1.2141</v>
      </c>
      <c r="AI42" s="145">
        <f t="shared" si="46"/>
        <v>81550744.615999997</v>
      </c>
      <c r="AJ42" s="145">
        <f t="shared" si="47"/>
        <v>9788052.4438000005</v>
      </c>
      <c r="AK42" s="145">
        <f t="shared" si="48"/>
        <v>47214711.8574</v>
      </c>
      <c r="AL42" s="152">
        <f t="shared" si="49"/>
        <v>264116962.80999109</v>
      </c>
      <c r="AM42" s="145">
        <f t="shared" si="50"/>
        <v>232524241.94159999</v>
      </c>
      <c r="AN42" s="145">
        <f t="shared" si="51"/>
        <v>635194713.66879106</v>
      </c>
      <c r="AO42" s="169">
        <v>3159265.3600000003</v>
      </c>
      <c r="AP42" s="159">
        <v>497600.69</v>
      </c>
      <c r="AQ42" s="149">
        <v>11848924.77</v>
      </c>
      <c r="AR42" s="149">
        <v>750000</v>
      </c>
      <c r="AS42" s="145">
        <f t="shared" si="32"/>
        <v>16255790.82</v>
      </c>
      <c r="AT42" s="145">
        <f t="shared" si="52"/>
        <v>618938922.848791</v>
      </c>
      <c r="AU42" s="145">
        <f t="shared" si="53"/>
        <v>631058339.68201554</v>
      </c>
      <c r="AV42" s="145">
        <f t="shared" si="33"/>
        <v>-12119416.833224535</v>
      </c>
      <c r="AW42" s="149">
        <f t="shared" si="54"/>
        <v>-0.34588140391676225</v>
      </c>
      <c r="AX42" s="133">
        <v>0.35</v>
      </c>
      <c r="AY42" s="133">
        <v>0.53</v>
      </c>
      <c r="AZ42" s="133">
        <v>0.13</v>
      </c>
      <c r="BA42" s="145">
        <f t="shared" si="55"/>
        <v>-4241795.8916285867</v>
      </c>
      <c r="BB42" s="145">
        <f t="shared" si="56"/>
        <v>-6423290.921609004</v>
      </c>
      <c r="BC42" s="145">
        <f t="shared" si="57"/>
        <v>-1575524.1883191897</v>
      </c>
      <c r="BD42" s="145">
        <f t="shared" si="58"/>
        <v>-3.1977032025796673E-2</v>
      </c>
      <c r="BE42" s="145">
        <f t="shared" si="59"/>
        <v>-5.8262332183276325E-2</v>
      </c>
      <c r="BF42" s="145">
        <f t="shared" si="60"/>
        <v>-7.7781614775641987E-3</v>
      </c>
      <c r="BG42" s="145">
        <f t="shared" si="61"/>
        <v>1.6858229679742034</v>
      </c>
      <c r="BH42" s="145">
        <f t="shared" si="62"/>
        <v>2.6743376678167237</v>
      </c>
      <c r="BI42" s="145">
        <f t="shared" si="63"/>
        <v>0.49542183852243576</v>
      </c>
      <c r="BJ42" s="154">
        <f t="shared" si="64"/>
        <v>4.3657951067255354E-2</v>
      </c>
      <c r="BK42" s="154">
        <f t="shared" si="65"/>
        <v>3.4664093043721915E-2</v>
      </c>
      <c r="BL42" s="154">
        <f t="shared" si="66"/>
        <v>5.9608754213804474E-2</v>
      </c>
      <c r="BM42" s="145">
        <f t="shared" si="67"/>
        <v>-0.38793091189550194</v>
      </c>
    </row>
    <row r="43" spans="1:65" ht="18" customHeight="1" x14ac:dyDescent="0.25">
      <c r="A43" s="11">
        <v>2012</v>
      </c>
      <c r="B43" s="12" t="s">
        <v>256</v>
      </c>
      <c r="C43" s="25">
        <v>3406725978</v>
      </c>
      <c r="D43" s="26">
        <f t="shared" si="68"/>
        <v>127297587</v>
      </c>
      <c r="E43" s="27">
        <f t="shared" si="69"/>
        <v>302751388</v>
      </c>
      <c r="F43" s="29">
        <v>9197440</v>
      </c>
      <c r="G43" s="26">
        <v>7833640</v>
      </c>
      <c r="H43" s="28">
        <v>6137864</v>
      </c>
      <c r="I43" s="26">
        <v>55551538</v>
      </c>
      <c r="J43" s="26">
        <v>48577105</v>
      </c>
      <c r="K43" s="30">
        <f t="shared" si="70"/>
        <v>127297587</v>
      </c>
      <c r="L43" s="31">
        <v>399572287</v>
      </c>
      <c r="M43" s="32">
        <v>44457712</v>
      </c>
      <c r="N43" s="26">
        <v>11611530</v>
      </c>
      <c r="O43" s="26">
        <v>6765826</v>
      </c>
      <c r="P43" s="26">
        <v>105791551</v>
      </c>
      <c r="Q43" s="26">
        <v>134124769</v>
      </c>
      <c r="R43" s="27">
        <f t="shared" si="71"/>
        <v>302751388</v>
      </c>
      <c r="S43" s="28">
        <f>Q43*'Order 30 Components'!AG7</f>
        <v>47098822.339118846</v>
      </c>
      <c r="T43" s="28">
        <f t="shared" si="30"/>
        <v>87025946.660881162</v>
      </c>
      <c r="U43" s="28">
        <f>R43*'Order 30 Components'!AG7</f>
        <v>106313203.31544159</v>
      </c>
      <c r="V43" s="143">
        <f t="shared" si="31"/>
        <v>196438184.68455839</v>
      </c>
      <c r="W43" s="154">
        <f t="shared" si="42"/>
        <v>3.7366547184030659E-2</v>
      </c>
      <c r="X43" s="154">
        <f t="shared" si="43"/>
        <v>8.8868723212583545E-2</v>
      </c>
      <c r="Y43" s="154">
        <f t="shared" si="44"/>
        <v>3.1206854910548251E-2</v>
      </c>
      <c r="Z43" s="154">
        <f t="shared" si="45"/>
        <v>5.7661868302035298E-2</v>
      </c>
      <c r="AA43" s="144">
        <v>11.42</v>
      </c>
      <c r="AB43" s="144">
        <v>1.7170000000000001</v>
      </c>
      <c r="AC43" s="144">
        <v>1.3132999999999999</v>
      </c>
      <c r="AD43" s="144">
        <v>1.5809</v>
      </c>
      <c r="AE43" s="144">
        <v>1.5739000000000001</v>
      </c>
      <c r="AF43" s="144">
        <v>2.6627000000000001</v>
      </c>
      <c r="AG43" s="144">
        <v>0.4541</v>
      </c>
      <c r="AH43" s="144">
        <v>1.1993</v>
      </c>
      <c r="AI43" s="145">
        <f t="shared" si="46"/>
        <v>66500230.365799993</v>
      </c>
      <c r="AJ43" s="145">
        <f t="shared" si="47"/>
        <v>8928580.5482999999</v>
      </c>
      <c r="AK43" s="145">
        <f t="shared" si="48"/>
        <v>46222532.308399998</v>
      </c>
      <c r="AL43" s="152">
        <f t="shared" si="49"/>
        <v>241384022.1805779</v>
      </c>
      <c r="AM43" s="145">
        <f t="shared" si="50"/>
        <v>214308372.77250001</v>
      </c>
      <c r="AN43" s="145">
        <f t="shared" si="51"/>
        <v>577343738.17557788</v>
      </c>
      <c r="AO43" s="169">
        <v>2938977.97</v>
      </c>
      <c r="AP43" s="159">
        <v>473548.09</v>
      </c>
      <c r="AQ43" s="149">
        <v>11093915.34</v>
      </c>
      <c r="AR43" s="149">
        <v>750000</v>
      </c>
      <c r="AS43" s="145">
        <f t="shared" si="32"/>
        <v>15256441.4</v>
      </c>
      <c r="AT43" s="145">
        <f t="shared" si="52"/>
        <v>562087296.7755779</v>
      </c>
      <c r="AU43" s="145">
        <f t="shared" si="53"/>
        <v>572636418.31258428</v>
      </c>
      <c r="AV43" s="145">
        <f t="shared" si="33"/>
        <v>-10549121.537006378</v>
      </c>
      <c r="AW43" s="149">
        <f t="shared" si="54"/>
        <v>-0.30965571064801323</v>
      </c>
      <c r="AX43" s="133">
        <v>0.35</v>
      </c>
      <c r="AY43" s="133">
        <v>0.53</v>
      </c>
      <c r="AZ43" s="133">
        <v>0.13</v>
      </c>
      <c r="BA43" s="145">
        <f t="shared" si="55"/>
        <v>-3692192.5379522322</v>
      </c>
      <c r="BB43" s="145">
        <f t="shared" si="56"/>
        <v>-5591034.414613381</v>
      </c>
      <c r="BC43" s="145">
        <f t="shared" si="57"/>
        <v>-1371385.7998108291</v>
      </c>
      <c r="BD43" s="145">
        <f t="shared" si="58"/>
        <v>-2.9004418897211556E-2</v>
      </c>
      <c r="BE43" s="145">
        <f t="shared" si="59"/>
        <v>-5.2590216833409101E-2</v>
      </c>
      <c r="BF43" s="145">
        <f t="shared" si="60"/>
        <v>-6.9812587711142243E-3</v>
      </c>
      <c r="BG43" s="145">
        <f t="shared" si="61"/>
        <v>1.5448955811027885</v>
      </c>
      <c r="BH43" s="145">
        <f t="shared" si="62"/>
        <v>2.6101097831665911</v>
      </c>
      <c r="BI43" s="145">
        <f t="shared" si="63"/>
        <v>0.44711874122888579</v>
      </c>
      <c r="BJ43" s="154">
        <f t="shared" si="64"/>
        <v>4.3166547184030658E-2</v>
      </c>
      <c r="BK43" s="154">
        <f t="shared" si="65"/>
        <v>3.4406854910548249E-2</v>
      </c>
      <c r="BL43" s="154">
        <f t="shared" si="66"/>
        <v>5.9461868302035301E-2</v>
      </c>
      <c r="BM43" s="145">
        <f t="shared" si="67"/>
        <v>-0.3476603266803675</v>
      </c>
    </row>
    <row r="44" spans="1:65" ht="18" customHeight="1" x14ac:dyDescent="0.25">
      <c r="A44" s="11">
        <v>2012</v>
      </c>
      <c r="B44" s="12" t="s">
        <v>257</v>
      </c>
      <c r="C44" s="25">
        <v>3695520970</v>
      </c>
      <c r="D44" s="26">
        <f t="shared" si="68"/>
        <v>137580540</v>
      </c>
      <c r="E44" s="27">
        <f t="shared" si="69"/>
        <v>328221516</v>
      </c>
      <c r="F44" s="29">
        <v>9715135</v>
      </c>
      <c r="G44" s="26">
        <v>8454836</v>
      </c>
      <c r="H44" s="28">
        <v>6682534</v>
      </c>
      <c r="I44" s="26">
        <v>60904898</v>
      </c>
      <c r="J44" s="26">
        <v>51823137</v>
      </c>
      <c r="K44" s="30">
        <f t="shared" si="70"/>
        <v>137580540</v>
      </c>
      <c r="L44" s="31">
        <v>420505308</v>
      </c>
      <c r="M44" s="32">
        <v>46856956</v>
      </c>
      <c r="N44" s="26">
        <v>11718931</v>
      </c>
      <c r="O44" s="26">
        <v>8601761</v>
      </c>
      <c r="P44" s="26">
        <v>116437507</v>
      </c>
      <c r="Q44" s="26">
        <v>144606361</v>
      </c>
      <c r="R44" s="27">
        <f t="shared" si="71"/>
        <v>328221516</v>
      </c>
      <c r="S44" s="28">
        <f>Q44*'Order 30 Components'!AG8</f>
        <v>50557170.365821801</v>
      </c>
      <c r="T44" s="28">
        <f t="shared" si="30"/>
        <v>94049190.634178191</v>
      </c>
      <c r="U44" s="28">
        <f>R44*'Order 30 Components'!AG8</f>
        <v>114752566.81232928</v>
      </c>
      <c r="V44" s="143">
        <f t="shared" si="31"/>
        <v>213468949.18767071</v>
      </c>
      <c r="W44" s="154">
        <f t="shared" si="42"/>
        <v>3.7228997242031617E-2</v>
      </c>
      <c r="X44" s="154">
        <f t="shared" si="43"/>
        <v>8.8816033967735811E-2</v>
      </c>
      <c r="Y44" s="154">
        <f t="shared" si="44"/>
        <v>3.1051796957420399E-2</v>
      </c>
      <c r="Z44" s="154">
        <f t="shared" si="45"/>
        <v>5.7764237010315411E-2</v>
      </c>
      <c r="AA44" s="144">
        <v>10.96</v>
      </c>
      <c r="AB44" s="144">
        <v>1.6355</v>
      </c>
      <c r="AC44" s="144">
        <v>1.2910999999999999</v>
      </c>
      <c r="AD44" s="144">
        <v>1.5367</v>
      </c>
      <c r="AE44" s="144">
        <v>1.5297000000000001</v>
      </c>
      <c r="AF44" s="144">
        <v>2.6570999999999998</v>
      </c>
      <c r="AG44" s="144">
        <v>0.4239</v>
      </c>
      <c r="AH44" s="144">
        <v>1.1516</v>
      </c>
      <c r="AI44" s="145">
        <f t="shared" si="46"/>
        <v>67112007.426899999</v>
      </c>
      <c r="AJ44" s="145">
        <f t="shared" si="47"/>
        <v>9398424.7603000011</v>
      </c>
      <c r="AK44" s="145">
        <f t="shared" si="48"/>
        <v>49497641.920199998</v>
      </c>
      <c r="AL44" s="152">
        <f t="shared" si="49"/>
        <v>253476761.95775324</v>
      </c>
      <c r="AM44" s="145">
        <f t="shared" si="50"/>
        <v>227255655.5318</v>
      </c>
      <c r="AN44" s="145">
        <f t="shared" si="51"/>
        <v>606740491.59695327</v>
      </c>
      <c r="AO44" s="169">
        <v>3123481.44</v>
      </c>
      <c r="AP44" s="159">
        <v>499325.95</v>
      </c>
      <c r="AQ44" s="149">
        <v>11857023.98</v>
      </c>
      <c r="AR44" s="149">
        <v>750000</v>
      </c>
      <c r="AS44" s="145">
        <f t="shared" si="32"/>
        <v>16229831.370000001</v>
      </c>
      <c r="AT44" s="145">
        <f t="shared" si="52"/>
        <v>590510660.22695327</v>
      </c>
      <c r="AU44" s="145">
        <f t="shared" si="53"/>
        <v>605855484.87569368</v>
      </c>
      <c r="AV44" s="145">
        <f t="shared" si="33"/>
        <v>-15344824.648740411</v>
      </c>
      <c r="AW44" s="149">
        <f t="shared" si="54"/>
        <v>-0.41522764376954435</v>
      </c>
      <c r="AX44" s="133">
        <v>0.35</v>
      </c>
      <c r="AY44" s="133">
        <v>0.53</v>
      </c>
      <c r="AZ44" s="133">
        <v>0.13</v>
      </c>
      <c r="BA44" s="145">
        <f t="shared" si="55"/>
        <v>-5370688.627059143</v>
      </c>
      <c r="BB44" s="145">
        <f t="shared" si="56"/>
        <v>-8132757.0638324181</v>
      </c>
      <c r="BC44" s="145">
        <f t="shared" si="57"/>
        <v>-1994827.2043362535</v>
      </c>
      <c r="BD44" s="145">
        <f t="shared" si="58"/>
        <v>-3.9036688088730738E-2</v>
      </c>
      <c r="BE44" s="145">
        <f t="shared" si="59"/>
        <v>-7.0872114583136414E-2</v>
      </c>
      <c r="BF44" s="145">
        <f t="shared" si="60"/>
        <v>-9.3448120296994851E-3</v>
      </c>
      <c r="BG44" s="145">
        <f t="shared" si="61"/>
        <v>1.4906633119112693</v>
      </c>
      <c r="BH44" s="145">
        <f t="shared" si="62"/>
        <v>2.5862278854168634</v>
      </c>
      <c r="BI44" s="145">
        <f t="shared" si="63"/>
        <v>0.4145551879703005</v>
      </c>
      <c r="BJ44" s="154">
        <f t="shared" si="64"/>
        <v>4.3028997242031616E-2</v>
      </c>
      <c r="BK44" s="154">
        <f t="shared" si="65"/>
        <v>3.4251796957420401E-2</v>
      </c>
      <c r="BL44" s="154">
        <f t="shared" si="66"/>
        <v>5.9564237010315414E-2</v>
      </c>
      <c r="BM44" s="145">
        <f t="shared" si="67"/>
        <v>-0.46638234213065316</v>
      </c>
    </row>
    <row r="45" spans="1:65" ht="18" customHeight="1" x14ac:dyDescent="0.25">
      <c r="A45" s="11">
        <v>2012</v>
      </c>
      <c r="B45" s="12" t="s">
        <v>258</v>
      </c>
      <c r="C45" s="25">
        <v>3527542167</v>
      </c>
      <c r="D45" s="26">
        <f t="shared" si="68"/>
        <v>129688971</v>
      </c>
      <c r="E45" s="27">
        <f t="shared" si="69"/>
        <v>312987710</v>
      </c>
      <c r="F45" s="29">
        <v>9447845</v>
      </c>
      <c r="G45" s="26">
        <v>8023994</v>
      </c>
      <c r="H45" s="28">
        <v>7168289</v>
      </c>
      <c r="I45" s="26">
        <v>55983417</v>
      </c>
      <c r="J45" s="26">
        <v>49065426</v>
      </c>
      <c r="K45" s="30">
        <f t="shared" si="70"/>
        <v>129688971</v>
      </c>
      <c r="L45" s="31">
        <v>407743772</v>
      </c>
      <c r="M45" s="32">
        <v>45421899</v>
      </c>
      <c r="N45" s="26">
        <v>11569461</v>
      </c>
      <c r="O45" s="26">
        <v>7563294</v>
      </c>
      <c r="P45" s="26">
        <v>109552202</v>
      </c>
      <c r="Q45" s="26">
        <v>138880854</v>
      </c>
      <c r="R45" s="27">
        <f t="shared" si="71"/>
        <v>312987710</v>
      </c>
      <c r="S45" s="28">
        <f>Q45*'Order 30 Components'!AG9</f>
        <v>48263726.765101261</v>
      </c>
      <c r="T45" s="28">
        <f t="shared" si="30"/>
        <v>90617127.234898746</v>
      </c>
      <c r="U45" s="28">
        <f>R45*'Order 30 Components'!AG9</f>
        <v>108769156.30339335</v>
      </c>
      <c r="V45" s="143">
        <f t="shared" si="31"/>
        <v>204218553.69660664</v>
      </c>
      <c r="W45" s="154">
        <f t="shared" si="42"/>
        <v>3.6764683414201124E-2</v>
      </c>
      <c r="X45" s="154">
        <f t="shared" si="43"/>
        <v>8.872685149676908E-2</v>
      </c>
      <c r="Y45" s="154">
        <f t="shared" si="44"/>
        <v>3.0834261124055146E-2</v>
      </c>
      <c r="Z45" s="154">
        <f t="shared" si="45"/>
        <v>5.789259037271393E-2</v>
      </c>
      <c r="AA45" s="144">
        <v>10.7</v>
      </c>
      <c r="AB45" s="144">
        <v>1.5239</v>
      </c>
      <c r="AC45" s="144">
        <v>1.2322</v>
      </c>
      <c r="AD45" s="144">
        <v>1.5714999999999999</v>
      </c>
      <c r="AE45" s="144">
        <v>1.5645</v>
      </c>
      <c r="AF45" s="144">
        <v>2.6568000000000001</v>
      </c>
      <c r="AG45" s="144">
        <v>0.40479999999999999</v>
      </c>
      <c r="AH45" s="144">
        <v>1.0728</v>
      </c>
      <c r="AI45" s="145">
        <f t="shared" si="46"/>
        <v>62886297.792499997</v>
      </c>
      <c r="AJ45" s="145">
        <f t="shared" si="47"/>
        <v>9113486.2652000003</v>
      </c>
      <c r="AK45" s="145">
        <f t="shared" si="48"/>
        <v>47450053.445500001</v>
      </c>
      <c r="AL45" s="152">
        <f t="shared" si="49"/>
        <v>241671741.35120803</v>
      </c>
      <c r="AM45" s="145">
        <f t="shared" si="50"/>
        <v>205113658.20210001</v>
      </c>
      <c r="AN45" s="145">
        <f t="shared" si="51"/>
        <v>566235237.05650806</v>
      </c>
      <c r="AO45" s="169">
        <v>3019466.26</v>
      </c>
      <c r="AP45" s="159">
        <v>488978.65</v>
      </c>
      <c r="AQ45" s="149">
        <v>11472070.91</v>
      </c>
      <c r="AR45" s="149">
        <v>750000</v>
      </c>
      <c r="AS45" s="145">
        <f t="shared" si="32"/>
        <v>15730515.82</v>
      </c>
      <c r="AT45" s="145">
        <f t="shared" si="52"/>
        <v>550504721.23650801</v>
      </c>
      <c r="AU45" s="145">
        <f t="shared" si="53"/>
        <v>574543960.13274181</v>
      </c>
      <c r="AV45" s="145">
        <f t="shared" si="33"/>
        <v>-24039238.896233797</v>
      </c>
      <c r="AW45" s="149">
        <f t="shared" si="54"/>
        <v>-0.68147275803305218</v>
      </c>
      <c r="AX45" s="133">
        <v>0.35</v>
      </c>
      <c r="AY45" s="133">
        <v>0.53</v>
      </c>
      <c r="AZ45" s="133">
        <v>0.13</v>
      </c>
      <c r="BA45" s="145">
        <f t="shared" si="55"/>
        <v>-8413733.6136818286</v>
      </c>
      <c r="BB45" s="145">
        <f t="shared" si="56"/>
        <v>-12740796.615003914</v>
      </c>
      <c r="BC45" s="145">
        <f t="shared" si="57"/>
        <v>-3125101.0565103935</v>
      </c>
      <c r="BD45" s="145">
        <f t="shared" si="58"/>
        <v>-6.4876246212808866E-2</v>
      </c>
      <c r="BE45" s="145">
        <f t="shared" si="59"/>
        <v>-0.11713611696560002</v>
      </c>
      <c r="BF45" s="145">
        <f t="shared" si="60"/>
        <v>-1.530272837576325E-2</v>
      </c>
      <c r="BG45" s="145">
        <f t="shared" si="61"/>
        <v>1.499623753787191</v>
      </c>
      <c r="BH45" s="145">
        <f t="shared" si="62"/>
        <v>2.5396638830343998</v>
      </c>
      <c r="BI45" s="145">
        <f t="shared" si="63"/>
        <v>0.38949727162423675</v>
      </c>
      <c r="BJ45" s="154">
        <f t="shared" si="64"/>
        <v>4.2564683414201124E-2</v>
      </c>
      <c r="BK45" s="154">
        <f t="shared" si="65"/>
        <v>3.4034261124055144E-2</v>
      </c>
      <c r="BL45" s="154">
        <f t="shared" si="66"/>
        <v>5.9692590372713933E-2</v>
      </c>
      <c r="BM45" s="145">
        <f t="shared" si="67"/>
        <v>-0.76615375695344123</v>
      </c>
    </row>
    <row r="46" spans="1:65" ht="18" customHeight="1" x14ac:dyDescent="0.25">
      <c r="A46" s="11">
        <v>2012</v>
      </c>
      <c r="B46" s="12" t="s">
        <v>6</v>
      </c>
      <c r="C46" s="25">
        <v>3632724020</v>
      </c>
      <c r="D46" s="26">
        <f t="shared" si="68"/>
        <v>131091814</v>
      </c>
      <c r="E46" s="27">
        <f t="shared" si="69"/>
        <v>321202050</v>
      </c>
      <c r="F46" s="29">
        <v>9483829</v>
      </c>
      <c r="G46" s="26">
        <v>8544235</v>
      </c>
      <c r="H46" s="28">
        <v>7444071</v>
      </c>
      <c r="I46" s="26">
        <v>56176489</v>
      </c>
      <c r="J46" s="26">
        <v>49443190</v>
      </c>
      <c r="K46" s="30">
        <f t="shared" si="70"/>
        <v>131091814</v>
      </c>
      <c r="L46" s="31">
        <v>410933934</v>
      </c>
      <c r="M46" s="32">
        <v>45767891</v>
      </c>
      <c r="N46" s="26">
        <v>11952093</v>
      </c>
      <c r="O46" s="26">
        <v>8054627</v>
      </c>
      <c r="P46" s="26">
        <v>113569415</v>
      </c>
      <c r="Q46" s="26">
        <v>141858024</v>
      </c>
      <c r="R46" s="27">
        <f t="shared" si="71"/>
        <v>321202050</v>
      </c>
      <c r="S46" s="28">
        <f>Q46*'Order 30 Components'!AG10</f>
        <v>48989543.285239495</v>
      </c>
      <c r="T46" s="28">
        <f t="shared" si="30"/>
        <v>92868480.714760512</v>
      </c>
      <c r="U46" s="28">
        <f>R46*'Order 30 Components'!AG10</f>
        <v>110924579.99966685</v>
      </c>
      <c r="V46" s="143">
        <f t="shared" si="31"/>
        <v>210277470.00033313</v>
      </c>
      <c r="W46" s="154">
        <f t="shared" si="42"/>
        <v>3.6086367496752481E-2</v>
      </c>
      <c r="X46" s="154">
        <f t="shared" si="43"/>
        <v>8.8419061902753629E-2</v>
      </c>
      <c r="Y46" s="154">
        <f t="shared" si="44"/>
        <v>3.053482163494128E-2</v>
      </c>
      <c r="Z46" s="154">
        <f t="shared" si="45"/>
        <v>5.7884240267812345E-2</v>
      </c>
      <c r="AA46" s="144">
        <v>10.76</v>
      </c>
      <c r="AB46" s="144">
        <v>1.5632999999999999</v>
      </c>
      <c r="AC46" s="144">
        <v>1.1633</v>
      </c>
      <c r="AD46" s="144">
        <v>1.4532</v>
      </c>
      <c r="AE46" s="144">
        <v>1.4461999999999999</v>
      </c>
      <c r="AF46" s="144">
        <v>2.7343999999999999</v>
      </c>
      <c r="AG46" s="144">
        <v>0.35</v>
      </c>
      <c r="AH46" s="144">
        <v>0.97740000000000005</v>
      </c>
      <c r="AI46" s="145">
        <f t="shared" si="46"/>
        <v>63967186.245699994</v>
      </c>
      <c r="AJ46" s="145">
        <f t="shared" si="47"/>
        <v>9183857.3838</v>
      </c>
      <c r="AK46" s="145">
        <f t="shared" si="48"/>
        <v>46508023.655200005</v>
      </c>
      <c r="AL46" s="152">
        <f t="shared" si="49"/>
        <v>237965716.78732505</v>
      </c>
      <c r="AM46" s="145">
        <f t="shared" si="50"/>
        <v>192245184.6128</v>
      </c>
      <c r="AN46" s="145">
        <f t="shared" si="51"/>
        <v>549869968.68482506</v>
      </c>
      <c r="AO46" s="169">
        <v>2944997.0700000003</v>
      </c>
      <c r="AP46" s="159">
        <v>531246.96</v>
      </c>
      <c r="AQ46" s="149">
        <v>11847928.15</v>
      </c>
      <c r="AR46" s="149">
        <v>750000</v>
      </c>
      <c r="AS46" s="145">
        <f t="shared" si="32"/>
        <v>16074172.18</v>
      </c>
      <c r="AT46" s="145">
        <f t="shared" si="52"/>
        <v>533795796.50482506</v>
      </c>
      <c r="AU46" s="145">
        <f t="shared" si="53"/>
        <v>566494267.45800567</v>
      </c>
      <c r="AV46" s="145">
        <f t="shared" si="33"/>
        <v>-32698470.953180611</v>
      </c>
      <c r="AW46" s="149">
        <f t="shared" si="54"/>
        <v>-0.90010886522507172</v>
      </c>
      <c r="AX46" s="133">
        <v>0.35</v>
      </c>
      <c r="AY46" s="133">
        <v>0.53</v>
      </c>
      <c r="AZ46" s="133">
        <v>0.13</v>
      </c>
      <c r="BA46" s="145">
        <f t="shared" si="55"/>
        <v>-11444464.833613213</v>
      </c>
      <c r="BB46" s="145">
        <f t="shared" si="56"/>
        <v>-17330189.605185725</v>
      </c>
      <c r="BC46" s="145">
        <f t="shared" si="57"/>
        <v>-4250801.2239134796</v>
      </c>
      <c r="BD46" s="145">
        <f t="shared" si="58"/>
        <v>-8.7301140204019245E-2</v>
      </c>
      <c r="BE46" s="145">
        <f t="shared" si="59"/>
        <v>-0.15623398894309787</v>
      </c>
      <c r="BF46" s="145">
        <f t="shared" si="60"/>
        <v>-2.0215200534354657E-2</v>
      </c>
      <c r="BG46" s="145">
        <f t="shared" si="61"/>
        <v>1.3588988597959806</v>
      </c>
      <c r="BH46" s="145">
        <f t="shared" si="62"/>
        <v>2.578166011056902</v>
      </c>
      <c r="BI46" s="145">
        <f t="shared" si="63"/>
        <v>0.32978479946564532</v>
      </c>
      <c r="BJ46" s="154">
        <f t="shared" si="64"/>
        <v>4.188636749675248E-2</v>
      </c>
      <c r="BK46" s="154">
        <f t="shared" si="65"/>
        <v>3.3734821634941278E-2</v>
      </c>
      <c r="BL46" s="154">
        <f t="shared" si="66"/>
        <v>5.9684240267812348E-2</v>
      </c>
      <c r="BM46" s="145">
        <f t="shared" si="67"/>
        <v>-1.0133782277536287</v>
      </c>
    </row>
    <row r="47" spans="1:65" ht="18" customHeight="1" x14ac:dyDescent="0.25">
      <c r="A47" s="11">
        <v>2012</v>
      </c>
      <c r="B47" s="12" t="s">
        <v>7</v>
      </c>
      <c r="C47" s="25">
        <v>3421683809</v>
      </c>
      <c r="D47" s="26">
        <f t="shared" si="68"/>
        <v>123800958</v>
      </c>
      <c r="E47" s="27">
        <f t="shared" si="69"/>
        <v>302070166</v>
      </c>
      <c r="F47" s="29">
        <v>8956835</v>
      </c>
      <c r="G47" s="26">
        <v>7921570</v>
      </c>
      <c r="H47" s="28">
        <v>7780489</v>
      </c>
      <c r="I47" s="26">
        <v>50471720</v>
      </c>
      <c r="J47" s="26">
        <v>48670344</v>
      </c>
      <c r="K47" s="30">
        <f t="shared" si="70"/>
        <v>123800958</v>
      </c>
      <c r="L47" s="31">
        <v>368961035</v>
      </c>
      <c r="M47" s="32">
        <v>40985960</v>
      </c>
      <c r="N47" s="26">
        <v>11113027</v>
      </c>
      <c r="O47" s="26">
        <v>7586719</v>
      </c>
      <c r="P47" s="26">
        <v>106995792</v>
      </c>
      <c r="Q47" s="26">
        <v>135388668</v>
      </c>
      <c r="R47" s="27">
        <f t="shared" si="71"/>
        <v>302070166</v>
      </c>
      <c r="S47" s="28">
        <f>Q47*'Order 30 Components'!AG11</f>
        <v>46279950.168945156</v>
      </c>
      <c r="T47" s="28">
        <f t="shared" si="30"/>
        <v>89108717.831054837</v>
      </c>
      <c r="U47" s="28">
        <f>R47*'Order 30 Components'!AG11</f>
        <v>103256738.07504326</v>
      </c>
      <c r="V47" s="143">
        <f t="shared" si="31"/>
        <v>198813427.92495674</v>
      </c>
      <c r="W47" s="154">
        <f t="shared" si="42"/>
        <v>3.6181296960978195E-2</v>
      </c>
      <c r="X47" s="154">
        <f t="shared" si="43"/>
        <v>8.8281145442331552E-2</v>
      </c>
      <c r="Y47" s="154">
        <f t="shared" si="44"/>
        <v>3.0177171193740554E-2</v>
      </c>
      <c r="Z47" s="154">
        <f t="shared" si="45"/>
        <v>5.8103974248590991E-2</v>
      </c>
      <c r="AA47" s="144">
        <v>10.61</v>
      </c>
      <c r="AB47" s="144">
        <v>1.4278999999999999</v>
      </c>
      <c r="AC47" s="144">
        <v>1.0467</v>
      </c>
      <c r="AD47" s="144">
        <v>1.4936</v>
      </c>
      <c r="AE47" s="144">
        <v>1.4865999999999999</v>
      </c>
      <c r="AF47" s="144">
        <v>2.8952</v>
      </c>
      <c r="AG47" s="144">
        <v>0.31130000000000002</v>
      </c>
      <c r="AH47" s="144">
        <v>0.92520000000000002</v>
      </c>
      <c r="AI47" s="145">
        <f t="shared" si="46"/>
        <v>56284840.865999997</v>
      </c>
      <c r="AJ47" s="145">
        <f t="shared" si="47"/>
        <v>8252405.4509999994</v>
      </c>
      <c r="AK47" s="145">
        <f t="shared" si="48"/>
        <v>43025619.460600004</v>
      </c>
      <c r="AL47" s="152">
        <f t="shared" si="49"/>
        <v>234082588.98033738</v>
      </c>
      <c r="AM47" s="145">
        <f t="shared" si="50"/>
        <v>174023765.71039999</v>
      </c>
      <c r="AN47" s="145">
        <f t="shared" si="51"/>
        <v>515669220.46833736</v>
      </c>
      <c r="AO47" s="169">
        <v>2824569.42</v>
      </c>
      <c r="AP47" s="159">
        <v>503473.1</v>
      </c>
      <c r="AQ47" s="149">
        <v>11455633.65</v>
      </c>
      <c r="AR47" s="149">
        <v>750000</v>
      </c>
      <c r="AS47" s="145">
        <f t="shared" si="32"/>
        <v>15533676.17</v>
      </c>
      <c r="AT47" s="145">
        <f t="shared" si="52"/>
        <v>500135544.29833734</v>
      </c>
      <c r="AU47" s="145">
        <f t="shared" si="53"/>
        <v>544882032.35070419</v>
      </c>
      <c r="AV47" s="145">
        <f t="shared" si="33"/>
        <v>-44746488.052366853</v>
      </c>
      <c r="AW47" s="149">
        <f t="shared" si="54"/>
        <v>-1.3077329920044301</v>
      </c>
      <c r="AX47" s="133">
        <v>0.35</v>
      </c>
      <c r="AY47" s="133">
        <v>0.53</v>
      </c>
      <c r="AZ47" s="133">
        <v>0.13</v>
      </c>
      <c r="BA47" s="145">
        <f t="shared" si="55"/>
        <v>-15661270.818328397</v>
      </c>
      <c r="BB47" s="145">
        <f t="shared" si="56"/>
        <v>-23715638.667754434</v>
      </c>
      <c r="BC47" s="145">
        <f t="shared" si="57"/>
        <v>-5817043.4468076909</v>
      </c>
      <c r="BD47" s="145">
        <f t="shared" si="58"/>
        <v>-0.12650363188892608</v>
      </c>
      <c r="BE47" s="145">
        <f t="shared" si="59"/>
        <v>-0.22967642702908905</v>
      </c>
      <c r="BF47" s="145">
        <f t="shared" si="60"/>
        <v>-2.9258805642661957E-2</v>
      </c>
      <c r="BG47" s="145">
        <f t="shared" si="61"/>
        <v>1.3600963681110738</v>
      </c>
      <c r="BH47" s="145">
        <f t="shared" si="62"/>
        <v>2.665523572970911</v>
      </c>
      <c r="BI47" s="145">
        <f t="shared" si="63"/>
        <v>0.28204119435733804</v>
      </c>
      <c r="BJ47" s="154">
        <f t="shared" si="64"/>
        <v>4.1981296960978194E-2</v>
      </c>
      <c r="BK47" s="154">
        <f t="shared" si="65"/>
        <v>3.3377171193740555E-2</v>
      </c>
      <c r="BL47" s="154">
        <f t="shared" si="66"/>
        <v>5.9903974248590994E-2</v>
      </c>
      <c r="BM47" s="145">
        <f t="shared" si="67"/>
        <v>-1.4729454700850391</v>
      </c>
    </row>
    <row r="48" spans="1:65" ht="18" customHeight="1" x14ac:dyDescent="0.25">
      <c r="A48" s="11">
        <v>2012</v>
      </c>
      <c r="B48" s="12" t="s">
        <v>8</v>
      </c>
      <c r="C48" s="25">
        <v>3395054264</v>
      </c>
      <c r="D48" s="26">
        <f t="shared" si="68"/>
        <v>122924110</v>
      </c>
      <c r="E48" s="27">
        <f t="shared" si="69"/>
        <v>298342568</v>
      </c>
      <c r="F48" s="29">
        <v>9804407</v>
      </c>
      <c r="G48" s="26">
        <v>9611121</v>
      </c>
      <c r="H48" s="28">
        <v>9500830</v>
      </c>
      <c r="I48" s="26">
        <v>45153761</v>
      </c>
      <c r="J48" s="26">
        <v>48853991</v>
      </c>
      <c r="K48" s="30">
        <f t="shared" si="70"/>
        <v>122924110</v>
      </c>
      <c r="L48" s="31">
        <v>393924371</v>
      </c>
      <c r="M48" s="32">
        <v>43482329</v>
      </c>
      <c r="N48" s="26">
        <v>11962449</v>
      </c>
      <c r="O48" s="26">
        <v>8043730</v>
      </c>
      <c r="P48" s="26">
        <v>98670768</v>
      </c>
      <c r="Q48" s="26">
        <v>136183292</v>
      </c>
      <c r="R48" s="27">
        <f t="shared" si="71"/>
        <v>298342568</v>
      </c>
      <c r="S48" s="28">
        <f>Q48*'Order 30 Components'!AG12</f>
        <v>46227985.824794672</v>
      </c>
      <c r="T48" s="28">
        <f t="shared" si="30"/>
        <v>89955306.17520532</v>
      </c>
      <c r="U48" s="28">
        <f>R48*'Order 30 Components'!AG12</f>
        <v>101273627.63735247</v>
      </c>
      <c r="V48" s="143">
        <f t="shared" si="31"/>
        <v>197068940.36264753</v>
      </c>
      <c r="W48" s="154">
        <f t="shared" si="42"/>
        <v>3.6206817458985983E-2</v>
      </c>
      <c r="X48" s="154">
        <f t="shared" si="43"/>
        <v>8.7875640505520949E-2</v>
      </c>
      <c r="Y48" s="154">
        <f t="shared" si="44"/>
        <v>2.9829752269712902E-2</v>
      </c>
      <c r="Z48" s="154">
        <f t="shared" si="45"/>
        <v>5.8045888235808044E-2</v>
      </c>
      <c r="AA48" s="144">
        <v>10.78</v>
      </c>
      <c r="AB48" s="144">
        <v>1.4594</v>
      </c>
      <c r="AC48" s="144">
        <v>1.0011000000000001</v>
      </c>
      <c r="AD48" s="144">
        <v>1.6626000000000001</v>
      </c>
      <c r="AE48" s="144">
        <v>1.6556</v>
      </c>
      <c r="AF48" s="144">
        <v>3.0430000000000001</v>
      </c>
      <c r="AG48" s="144">
        <v>0.31230000000000002</v>
      </c>
      <c r="AH48" s="144">
        <v>0.99650000000000005</v>
      </c>
      <c r="AI48" s="145">
        <f t="shared" si="46"/>
        <v>61460993.8358</v>
      </c>
      <c r="AJ48" s="145">
        <f t="shared" si="47"/>
        <v>8810058.8079000004</v>
      </c>
      <c r="AK48" s="145">
        <f t="shared" si="48"/>
        <v>51803715.5295</v>
      </c>
      <c r="AL48" s="152">
        <f t="shared" si="49"/>
        <v>249647470.48296681</v>
      </c>
      <c r="AM48" s="145">
        <f t="shared" si="50"/>
        <v>173081987.02360001</v>
      </c>
      <c r="AN48" s="145">
        <f t="shared" si="51"/>
        <v>544804225.67976677</v>
      </c>
      <c r="AO48" s="169">
        <v>2915121.57</v>
      </c>
      <c r="AP48" s="159">
        <v>543323.53</v>
      </c>
      <c r="AQ48" s="149">
        <v>11850875.949999999</v>
      </c>
      <c r="AR48" s="149">
        <v>750000</v>
      </c>
      <c r="AS48" s="145">
        <f t="shared" si="32"/>
        <v>16059321.049999999</v>
      </c>
      <c r="AT48" s="145">
        <f t="shared" si="52"/>
        <v>528744904.62976676</v>
      </c>
      <c r="AU48" s="145">
        <f t="shared" si="53"/>
        <v>573233435.49171841</v>
      </c>
      <c r="AV48" s="145">
        <f t="shared" si="33"/>
        <v>-44488530.861951649</v>
      </c>
      <c r="AW48" s="149">
        <f t="shared" si="54"/>
        <v>-1.310392335512657</v>
      </c>
      <c r="AX48" s="133">
        <v>0.35</v>
      </c>
      <c r="AY48" s="133">
        <v>0.53</v>
      </c>
      <c r="AZ48" s="133">
        <v>0.13</v>
      </c>
      <c r="BA48" s="145">
        <f t="shared" si="55"/>
        <v>-15570985.801683076</v>
      </c>
      <c r="BB48" s="145">
        <f t="shared" si="56"/>
        <v>-23578921.356834374</v>
      </c>
      <c r="BC48" s="145">
        <f t="shared" si="57"/>
        <v>-5783509.0120537141</v>
      </c>
      <c r="BD48" s="145">
        <f t="shared" si="58"/>
        <v>-0.12667153580923282</v>
      </c>
      <c r="BE48" s="145">
        <f t="shared" si="59"/>
        <v>-0.23282390398088029</v>
      </c>
      <c r="BF48" s="145">
        <f t="shared" si="60"/>
        <v>-2.9347643527239065E-2</v>
      </c>
      <c r="BG48" s="145">
        <f t="shared" si="61"/>
        <v>1.5289284641907672</v>
      </c>
      <c r="BH48" s="145">
        <f t="shared" si="62"/>
        <v>2.81017609601912</v>
      </c>
      <c r="BI48" s="145">
        <f t="shared" si="63"/>
        <v>0.28295235647276096</v>
      </c>
      <c r="BJ48" s="154">
        <f t="shared" si="64"/>
        <v>4.2006817458985983E-2</v>
      </c>
      <c r="BK48" s="154">
        <f t="shared" si="65"/>
        <v>3.30297522697129E-2</v>
      </c>
      <c r="BL48" s="154">
        <f t="shared" si="66"/>
        <v>5.9845888235808047E-2</v>
      </c>
      <c r="BM48" s="145">
        <f t="shared" si="67"/>
        <v>-1.4767519747459232</v>
      </c>
    </row>
    <row r="49" spans="1:65" ht="18" customHeight="1" x14ac:dyDescent="0.25">
      <c r="A49" s="11">
        <v>2012</v>
      </c>
      <c r="B49" s="12" t="s">
        <v>259</v>
      </c>
      <c r="C49" s="25">
        <v>3189335715</v>
      </c>
      <c r="D49" s="26">
        <f t="shared" si="68"/>
        <v>117041997</v>
      </c>
      <c r="E49" s="27">
        <f t="shared" si="69"/>
        <v>278618345</v>
      </c>
      <c r="F49" s="29">
        <v>10134406</v>
      </c>
      <c r="G49" s="26">
        <v>10638203</v>
      </c>
      <c r="H49" s="28">
        <v>9654024</v>
      </c>
      <c r="I49" s="26">
        <v>39502284</v>
      </c>
      <c r="J49" s="26">
        <v>47113080</v>
      </c>
      <c r="K49" s="30">
        <f t="shared" si="70"/>
        <v>117041997</v>
      </c>
      <c r="L49" s="31">
        <v>426711319</v>
      </c>
      <c r="M49" s="32">
        <v>47074741</v>
      </c>
      <c r="N49" s="26">
        <v>11873900</v>
      </c>
      <c r="O49" s="26">
        <v>8074435</v>
      </c>
      <c r="P49" s="26">
        <v>78732852</v>
      </c>
      <c r="Q49" s="26">
        <v>132862417</v>
      </c>
      <c r="R49" s="27">
        <f t="shared" si="71"/>
        <v>278618345</v>
      </c>
      <c r="S49" s="28">
        <f>Q49*'Order 30 Components'!AG13</f>
        <v>45444062.308589026</v>
      </c>
      <c r="T49" s="28">
        <f t="shared" si="30"/>
        <v>87418354.691410974</v>
      </c>
      <c r="U49" s="28">
        <f>R49*'Order 30 Components'!AG13</f>
        <v>95298201.827052072</v>
      </c>
      <c r="V49" s="143">
        <f t="shared" si="31"/>
        <v>183320143.17294794</v>
      </c>
      <c r="W49" s="154">
        <f t="shared" si="42"/>
        <v>3.6697923159838948E-2</v>
      </c>
      <c r="X49" s="154">
        <f t="shared" si="43"/>
        <v>8.7359365679069004E-2</v>
      </c>
      <c r="Y49" s="154">
        <f t="shared" si="44"/>
        <v>2.9880266721012804E-2</v>
      </c>
      <c r="Z49" s="154">
        <f t="shared" si="45"/>
        <v>5.7479098958056203E-2</v>
      </c>
      <c r="AA49" s="144">
        <v>11.21</v>
      </c>
      <c r="AB49" s="144">
        <v>1.6386000000000001</v>
      </c>
      <c r="AC49" s="144">
        <v>1.0589</v>
      </c>
      <c r="AD49" s="144">
        <v>1.8409</v>
      </c>
      <c r="AE49" s="144">
        <v>1.8339000000000001</v>
      </c>
      <c r="AF49" s="144">
        <v>3.1211000000000002</v>
      </c>
      <c r="AG49" s="144">
        <v>0.34620000000000001</v>
      </c>
      <c r="AH49" s="144">
        <v>1.0755999999999999</v>
      </c>
      <c r="AI49" s="145">
        <f t="shared" si="46"/>
        <v>69717654.997600004</v>
      </c>
      <c r="AJ49" s="145">
        <f t="shared" si="47"/>
        <v>9533233.1801999994</v>
      </c>
      <c r="AK49" s="145">
        <f t="shared" si="48"/>
        <v>58479252.615799993</v>
      </c>
      <c r="AL49" s="152">
        <f t="shared" si="49"/>
        <v>258500374.67750368</v>
      </c>
      <c r="AM49" s="145">
        <f t="shared" si="50"/>
        <v>157128294.23879999</v>
      </c>
      <c r="AN49" s="145">
        <f t="shared" si="51"/>
        <v>553358809.70990372</v>
      </c>
      <c r="AO49" s="169">
        <v>3050912.7999999993</v>
      </c>
      <c r="AP49" s="159">
        <v>568940.14</v>
      </c>
      <c r="AQ49" s="149">
        <v>11860756.640000001</v>
      </c>
      <c r="AR49" s="149">
        <v>750000</v>
      </c>
      <c r="AS49" s="145">
        <f t="shared" si="32"/>
        <v>16230609.58</v>
      </c>
      <c r="AT49" s="145">
        <f t="shared" si="52"/>
        <v>537128200.12990367</v>
      </c>
      <c r="AU49" s="145">
        <f t="shared" si="53"/>
        <v>575543969.58718681</v>
      </c>
      <c r="AV49" s="145">
        <f t="shared" si="33"/>
        <v>-38415769.457283139</v>
      </c>
      <c r="AW49" s="149">
        <f t="shared" si="54"/>
        <v>-1.2045069221345091</v>
      </c>
      <c r="AX49" s="133">
        <v>0.35</v>
      </c>
      <c r="AY49" s="133">
        <v>0.53</v>
      </c>
      <c r="AZ49" s="133">
        <v>0.13</v>
      </c>
      <c r="BA49" s="145">
        <f t="shared" si="55"/>
        <v>-13445519.310049098</v>
      </c>
      <c r="BB49" s="145">
        <f t="shared" si="56"/>
        <v>-20360357.812360063</v>
      </c>
      <c r="BC49" s="145">
        <f t="shared" si="57"/>
        <v>-4994050.0294468086</v>
      </c>
      <c r="BD49" s="145">
        <f t="shared" si="58"/>
        <v>-0.11487773324688828</v>
      </c>
      <c r="BE49" s="145">
        <f t="shared" si="59"/>
        <v>-0.21364891909828687</v>
      </c>
      <c r="BF49" s="145">
        <f t="shared" si="60"/>
        <v>-2.7242232866550406E-2</v>
      </c>
      <c r="BG49" s="145">
        <f t="shared" si="61"/>
        <v>1.7190222667531119</v>
      </c>
      <c r="BH49" s="145">
        <f t="shared" si="62"/>
        <v>2.9074510809017133</v>
      </c>
      <c r="BI49" s="145">
        <f t="shared" si="63"/>
        <v>0.31895776713344959</v>
      </c>
      <c r="BJ49" s="154">
        <f t="shared" si="64"/>
        <v>4.2497923159838948E-2</v>
      </c>
      <c r="BK49" s="154">
        <f t="shared" si="65"/>
        <v>3.3080266721012802E-2</v>
      </c>
      <c r="BL49" s="154">
        <f t="shared" si="66"/>
        <v>5.9279098958056206E-2</v>
      </c>
      <c r="BM49" s="145">
        <f t="shared" si="67"/>
        <v>-1.3564523326664801</v>
      </c>
    </row>
    <row r="50" spans="1:65" ht="18" customHeight="1" x14ac:dyDescent="0.25">
      <c r="A50" s="11">
        <v>2012</v>
      </c>
      <c r="B50" s="12" t="s">
        <v>260</v>
      </c>
      <c r="C50" s="25">
        <v>3078335025</v>
      </c>
      <c r="D50" s="26">
        <f t="shared" si="68"/>
        <v>114173498</v>
      </c>
      <c r="E50" s="27">
        <f t="shared" si="69"/>
        <v>271761230</v>
      </c>
      <c r="F50" s="29">
        <v>9042229</v>
      </c>
      <c r="G50" s="26">
        <v>10145176</v>
      </c>
      <c r="H50" s="28">
        <v>7158812</v>
      </c>
      <c r="I50" s="26">
        <v>42625261</v>
      </c>
      <c r="J50" s="26">
        <v>45202020</v>
      </c>
      <c r="K50" s="30">
        <f t="shared" si="70"/>
        <v>114173498</v>
      </c>
      <c r="L50" s="31">
        <v>401720443</v>
      </c>
      <c r="M50" s="32">
        <v>44761145</v>
      </c>
      <c r="N50" s="26">
        <v>11603477</v>
      </c>
      <c r="O50" s="26">
        <v>6795556</v>
      </c>
      <c r="P50" s="26">
        <v>82233316</v>
      </c>
      <c r="Q50" s="26">
        <v>126367736</v>
      </c>
      <c r="R50" s="27">
        <f t="shared" si="71"/>
        <v>271761230</v>
      </c>
      <c r="S50" s="28">
        <f>Q50*'Order 30 Components'!AG14</f>
        <v>43995884.241413891</v>
      </c>
      <c r="T50" s="28">
        <f t="shared" si="30"/>
        <v>82371851.758586109</v>
      </c>
      <c r="U50" s="28">
        <f>R50*'Order 30 Components'!AG14</f>
        <v>94615730.208098814</v>
      </c>
      <c r="V50" s="143">
        <f t="shared" si="31"/>
        <v>177145499.79190117</v>
      </c>
      <c r="W50" s="154">
        <f t="shared" si="42"/>
        <v>3.7089367165290918E-2</v>
      </c>
      <c r="X50" s="154">
        <f t="shared" si="43"/>
        <v>8.8281888681041143E-2</v>
      </c>
      <c r="Y50" s="154">
        <f t="shared" si="44"/>
        <v>3.0736008082193331E-2</v>
      </c>
      <c r="Z50" s="154">
        <f t="shared" si="45"/>
        <v>5.7545880598847805E-2</v>
      </c>
      <c r="AA50" s="144">
        <v>11.57</v>
      </c>
      <c r="AB50" s="144">
        <v>1.8361000000000001</v>
      </c>
      <c r="AC50" s="144">
        <v>1.1511</v>
      </c>
      <c r="AD50" s="144">
        <v>2.0116999999999998</v>
      </c>
      <c r="AE50" s="144">
        <v>2.0047000000000001</v>
      </c>
      <c r="AF50" s="144">
        <v>3.2521</v>
      </c>
      <c r="AG50" s="144">
        <v>0.39710000000000001</v>
      </c>
      <c r="AH50" s="144">
        <v>1.1969000000000001</v>
      </c>
      <c r="AI50" s="145">
        <f t="shared" si="46"/>
        <v>68260356.398499995</v>
      </c>
      <c r="AJ50" s="145">
        <f t="shared" si="47"/>
        <v>8973819.1949000005</v>
      </c>
      <c r="AK50" s="145">
        <f t="shared" si="48"/>
        <v>55989559.545900002</v>
      </c>
      <c r="AL50" s="152">
        <f t="shared" si="49"/>
        <v>266405366.96883667</v>
      </c>
      <c r="AM50" s="145">
        <f t="shared" si="50"/>
        <v>183875916.64710003</v>
      </c>
      <c r="AN50" s="145">
        <f t="shared" si="51"/>
        <v>583505018.75523663</v>
      </c>
      <c r="AO50" s="169">
        <v>3025762.44</v>
      </c>
      <c r="AP50" s="159">
        <v>528343.63</v>
      </c>
      <c r="AQ50" s="149">
        <v>11455766.99</v>
      </c>
      <c r="AR50" s="149">
        <v>750000</v>
      </c>
      <c r="AS50" s="145">
        <f t="shared" si="32"/>
        <v>15759873.060000001</v>
      </c>
      <c r="AT50" s="145">
        <f t="shared" si="52"/>
        <v>567745145.69523668</v>
      </c>
      <c r="AU50" s="145">
        <f t="shared" si="53"/>
        <v>606927905.61772215</v>
      </c>
      <c r="AV50" s="145">
        <f t="shared" si="33"/>
        <v>-39182759.922485471</v>
      </c>
      <c r="AW50" s="149">
        <f t="shared" si="54"/>
        <v>-1.2728556055228417</v>
      </c>
      <c r="AX50" s="133">
        <v>0.35</v>
      </c>
      <c r="AY50" s="133">
        <v>0.53</v>
      </c>
      <c r="AZ50" s="133">
        <v>0.13</v>
      </c>
      <c r="BA50" s="145">
        <f t="shared" si="55"/>
        <v>-13713965.972869914</v>
      </c>
      <c r="BB50" s="145">
        <f t="shared" si="56"/>
        <v>-20766862.758917302</v>
      </c>
      <c r="BC50" s="145">
        <f t="shared" si="57"/>
        <v>-5093758.789923111</v>
      </c>
      <c r="BD50" s="145">
        <f t="shared" si="58"/>
        <v>-0.12011514242009047</v>
      </c>
      <c r="BE50" s="145">
        <f t="shared" si="59"/>
        <v>-0.21948636567347152</v>
      </c>
      <c r="BF50" s="145">
        <f t="shared" si="60"/>
        <v>-2.875466097590355E-2</v>
      </c>
      <c r="BG50" s="145">
        <f t="shared" si="61"/>
        <v>1.8845848575799096</v>
      </c>
      <c r="BH50" s="145">
        <f t="shared" si="62"/>
        <v>3.0326136343265286</v>
      </c>
      <c r="BI50" s="145">
        <f t="shared" si="63"/>
        <v>0.36834533902409644</v>
      </c>
      <c r="BJ50" s="154">
        <f t="shared" si="64"/>
        <v>4.2889367165290918E-2</v>
      </c>
      <c r="BK50" s="154">
        <f t="shared" si="65"/>
        <v>3.3936008082193332E-2</v>
      </c>
      <c r="BL50" s="154">
        <f t="shared" si="66"/>
        <v>5.9345880598847808E-2</v>
      </c>
      <c r="BM50" s="145">
        <f t="shared" si="67"/>
        <v>-1.4306624201728961</v>
      </c>
    </row>
    <row r="51" spans="1:65" ht="18" customHeight="1" x14ac:dyDescent="0.25">
      <c r="A51" s="11">
        <v>2012</v>
      </c>
      <c r="B51" s="12" t="s">
        <v>261</v>
      </c>
      <c r="C51" s="25">
        <v>3195454758</v>
      </c>
      <c r="D51" s="26">
        <f t="shared" si="68"/>
        <v>120300511</v>
      </c>
      <c r="E51" s="27">
        <f t="shared" si="69"/>
        <v>284337366</v>
      </c>
      <c r="F51" s="29">
        <v>10388808</v>
      </c>
      <c r="G51" s="26">
        <v>11904254</v>
      </c>
      <c r="H51" s="28">
        <v>7195858</v>
      </c>
      <c r="I51" s="26">
        <v>43389493</v>
      </c>
      <c r="J51" s="26">
        <v>47422098</v>
      </c>
      <c r="K51" s="30">
        <f t="shared" si="70"/>
        <v>120300511</v>
      </c>
      <c r="L51" s="31">
        <v>445321097</v>
      </c>
      <c r="M51" s="32">
        <v>49614114</v>
      </c>
      <c r="N51" s="26">
        <v>12901761</v>
      </c>
      <c r="O51" s="26">
        <v>7279847</v>
      </c>
      <c r="P51" s="26">
        <v>82924118</v>
      </c>
      <c r="Q51" s="26">
        <v>131617526</v>
      </c>
      <c r="R51" s="27">
        <f t="shared" si="71"/>
        <v>284337366</v>
      </c>
      <c r="S51" s="28">
        <f>Q51*'Order 30 Components'!AG15</f>
        <v>46589438.48214265</v>
      </c>
      <c r="T51" s="28">
        <f t="shared" si="30"/>
        <v>85028087.517857343</v>
      </c>
      <c r="U51" s="28">
        <f>R51*'Order 30 Components'!AG15</f>
        <v>100648588.55827056</v>
      </c>
      <c r="V51" s="143">
        <f t="shared" si="31"/>
        <v>183688777.44172943</v>
      </c>
      <c r="W51" s="154">
        <f t="shared" si="42"/>
        <v>3.7647383584080145E-2</v>
      </c>
      <c r="X51" s="154">
        <f t="shared" si="43"/>
        <v>8.8981815589203844E-2</v>
      </c>
      <c r="Y51" s="154">
        <f t="shared" si="44"/>
        <v>3.1497422489331503E-2</v>
      </c>
      <c r="Z51" s="154">
        <f t="shared" si="45"/>
        <v>5.7484393099872334E-2</v>
      </c>
      <c r="AA51" s="144">
        <v>12.31</v>
      </c>
      <c r="AB51" s="144">
        <v>2.0007999999999999</v>
      </c>
      <c r="AC51" s="144">
        <v>1.2688999999999999</v>
      </c>
      <c r="AD51" s="144">
        <v>2.1206</v>
      </c>
      <c r="AE51" s="144">
        <v>2.1135999999999999</v>
      </c>
      <c r="AF51" s="144">
        <v>3.7277999999999998</v>
      </c>
      <c r="AG51" s="144">
        <v>0.434</v>
      </c>
      <c r="AH51" s="144">
        <v>1.2827999999999999</v>
      </c>
      <c r="AI51" s="145">
        <f t="shared" si="46"/>
        <v>81712451.520500004</v>
      </c>
      <c r="AJ51" s="145">
        <f t="shared" si="47"/>
        <v>9954883.1743000001</v>
      </c>
      <c r="AK51" s="145">
        <f t="shared" si="48"/>
        <v>66112139.898400001</v>
      </c>
      <c r="AL51" s="152">
        <f t="shared" si="49"/>
        <v>310809645.08928144</v>
      </c>
      <c r="AM51" s="145">
        <f t="shared" si="50"/>
        <v>198083090.9752</v>
      </c>
      <c r="AN51" s="145">
        <f t="shared" si="51"/>
        <v>666672210.65768147</v>
      </c>
      <c r="AO51" s="169">
        <v>3220405.1900000004</v>
      </c>
      <c r="AP51" s="159">
        <v>515580.59</v>
      </c>
      <c r="AQ51" s="149">
        <v>11841026.220000001</v>
      </c>
      <c r="AR51" s="149">
        <v>750000</v>
      </c>
      <c r="AS51" s="145">
        <f t="shared" si="32"/>
        <v>16327012</v>
      </c>
      <c r="AT51" s="145">
        <f t="shared" si="52"/>
        <v>650345198.65768147</v>
      </c>
      <c r="AU51" s="145">
        <f t="shared" si="53"/>
        <v>709185897.88683152</v>
      </c>
      <c r="AV51" s="145">
        <f t="shared" si="33"/>
        <v>-58840699.229150057</v>
      </c>
      <c r="AW51" s="149">
        <f t="shared" si="54"/>
        <v>-1.8413873356159738</v>
      </c>
      <c r="AX51" s="133">
        <v>0.35</v>
      </c>
      <c r="AY51" s="133">
        <v>0.53</v>
      </c>
      <c r="AZ51" s="133">
        <v>0.13</v>
      </c>
      <c r="BA51" s="145">
        <f t="shared" si="55"/>
        <v>-20594244.730202518</v>
      </c>
      <c r="BB51" s="145">
        <f t="shared" si="56"/>
        <v>-31185570.591449533</v>
      </c>
      <c r="BC51" s="145">
        <f t="shared" si="57"/>
        <v>-7649290.8997895075</v>
      </c>
      <c r="BD51" s="145">
        <f t="shared" si="58"/>
        <v>-0.17119000209568949</v>
      </c>
      <c r="BE51" s="145">
        <f t="shared" si="59"/>
        <v>-0.30984607969335437</v>
      </c>
      <c r="BF51" s="145">
        <f t="shared" si="60"/>
        <v>-4.1642668682990443E-2</v>
      </c>
      <c r="BG51" s="145">
        <f t="shared" si="61"/>
        <v>1.9424099979043103</v>
      </c>
      <c r="BH51" s="145">
        <f t="shared" si="62"/>
        <v>3.4179539203066454</v>
      </c>
      <c r="BI51" s="145">
        <f t="shared" si="63"/>
        <v>0.39235733131700956</v>
      </c>
      <c r="BJ51" s="154">
        <f t="shared" si="64"/>
        <v>4.3447383584080145E-2</v>
      </c>
      <c r="BK51" s="154">
        <f t="shared" si="65"/>
        <v>3.4697422489331504E-2</v>
      </c>
      <c r="BL51" s="154">
        <f t="shared" si="66"/>
        <v>5.9284393099872337E-2</v>
      </c>
      <c r="BM51" s="145">
        <f t="shared" si="67"/>
        <v>-2.0657378360524445</v>
      </c>
    </row>
    <row r="52" spans="1:65" ht="18" customHeight="1" x14ac:dyDescent="0.25">
      <c r="A52" s="11">
        <v>2012</v>
      </c>
      <c r="B52" s="12" t="s">
        <v>262</v>
      </c>
      <c r="C52" s="25">
        <v>3154388743</v>
      </c>
      <c r="D52" s="26">
        <f t="shared" si="68"/>
        <v>120965834</v>
      </c>
      <c r="E52" s="27">
        <f t="shared" si="69"/>
        <v>282500621</v>
      </c>
      <c r="F52" s="29">
        <v>10106758</v>
      </c>
      <c r="G52" s="26">
        <v>12515922</v>
      </c>
      <c r="H52" s="28">
        <v>5811297</v>
      </c>
      <c r="I52" s="26">
        <v>44385499</v>
      </c>
      <c r="J52" s="26">
        <v>48146358</v>
      </c>
      <c r="K52" s="30">
        <f t="shared" si="70"/>
        <v>120965834</v>
      </c>
      <c r="L52" s="31">
        <v>424433403</v>
      </c>
      <c r="M52" s="32">
        <v>47337120</v>
      </c>
      <c r="N52" s="26">
        <v>12031315</v>
      </c>
      <c r="O52" s="26">
        <v>6035806</v>
      </c>
      <c r="P52" s="26">
        <v>85491180</v>
      </c>
      <c r="Q52" s="26">
        <v>131605200</v>
      </c>
      <c r="R52" s="27">
        <f t="shared" si="71"/>
        <v>282500621</v>
      </c>
      <c r="S52" s="28">
        <f>Q52*'Order 30 Components'!AG16</f>
        <v>46794624.104572088</v>
      </c>
      <c r="T52" s="28">
        <f t="shared" si="30"/>
        <v>84810575.895427912</v>
      </c>
      <c r="U52" s="28">
        <f>R52*'Order 30 Components'!AG16</f>
        <v>100448237.37210372</v>
      </c>
      <c r="V52" s="143">
        <f t="shared" si="31"/>
        <v>182052383.62789628</v>
      </c>
      <c r="W52" s="154">
        <f t="shared" si="42"/>
        <v>3.8348423056111573E-2</v>
      </c>
      <c r="X52" s="154">
        <f t="shared" si="43"/>
        <v>8.9557960041198384E-2</v>
      </c>
      <c r="Y52" s="154">
        <f t="shared" si="44"/>
        <v>3.1843962667889768E-2</v>
      </c>
      <c r="Z52" s="154">
        <f t="shared" si="45"/>
        <v>5.7713997373308623E-2</v>
      </c>
      <c r="AA52" s="144">
        <v>13.77</v>
      </c>
      <c r="AB52" s="144">
        <v>2.1171000000000002</v>
      </c>
      <c r="AC52" s="144">
        <v>1.3478000000000001</v>
      </c>
      <c r="AD52" s="144">
        <v>2.0287999999999999</v>
      </c>
      <c r="AE52" s="144">
        <v>2.0217999999999998</v>
      </c>
      <c r="AF52" s="144">
        <v>3.7172000000000001</v>
      </c>
      <c r="AG52" s="144">
        <v>0.46239999999999998</v>
      </c>
      <c r="AH52" s="144">
        <v>1.333</v>
      </c>
      <c r="AI52" s="145">
        <f t="shared" si="46"/>
        <v>86359818.378899992</v>
      </c>
      <c r="AJ52" s="145">
        <f t="shared" si="47"/>
        <v>9492982.4356999993</v>
      </c>
      <c r="AK52" s="145">
        <f t="shared" si="48"/>
        <v>61533127.591000006</v>
      </c>
      <c r="AL52" s="152">
        <f t="shared" si="49"/>
        <v>310503693.6199612</v>
      </c>
      <c r="AM52" s="145">
        <f t="shared" si="50"/>
        <v>203698344.81819999</v>
      </c>
      <c r="AN52" s="145">
        <f t="shared" si="51"/>
        <v>671587966.84376121</v>
      </c>
      <c r="AO52" s="169">
        <v>2964170.5100000002</v>
      </c>
      <c r="AP52" s="159">
        <v>491658.63</v>
      </c>
      <c r="AQ52" s="149">
        <v>11458973.139999999</v>
      </c>
      <c r="AR52" s="149">
        <v>750000</v>
      </c>
      <c r="AS52" s="145">
        <f t="shared" si="32"/>
        <v>15664802.279999999</v>
      </c>
      <c r="AT52" s="145">
        <f t="shared" si="52"/>
        <v>655923164.56376123</v>
      </c>
      <c r="AU52" s="145">
        <f t="shared" si="53"/>
        <v>702135933.3303231</v>
      </c>
      <c r="AV52" s="145">
        <f t="shared" si="33"/>
        <v>-46212768.766561866</v>
      </c>
      <c r="AW52" s="149">
        <f t="shared" si="54"/>
        <v>-1.4650308675211332</v>
      </c>
      <c r="AX52" s="133">
        <v>0.35</v>
      </c>
      <c r="AY52" s="133">
        <v>0.53</v>
      </c>
      <c r="AZ52" s="133">
        <v>0.13</v>
      </c>
      <c r="BA52" s="145">
        <f t="shared" si="55"/>
        <v>-16174469.068296652</v>
      </c>
      <c r="BB52" s="145">
        <f t="shared" si="56"/>
        <v>-24492767.44627779</v>
      </c>
      <c r="BC52" s="145">
        <f t="shared" si="57"/>
        <v>-6007659.9396530427</v>
      </c>
      <c r="BD52" s="145">
        <f t="shared" si="58"/>
        <v>-0.13371105322430674</v>
      </c>
      <c r="BE52" s="145">
        <f t="shared" si="59"/>
        <v>-0.24383471613888041</v>
      </c>
      <c r="BF52" s="145">
        <f t="shared" si="60"/>
        <v>-3.299962252585676E-2</v>
      </c>
      <c r="BG52" s="145">
        <f t="shared" si="61"/>
        <v>1.8880889467756932</v>
      </c>
      <c r="BH52" s="145">
        <f t="shared" si="62"/>
        <v>3.4733652838611198</v>
      </c>
      <c r="BI52" s="145">
        <f t="shared" si="63"/>
        <v>0.42940037747414322</v>
      </c>
      <c r="BJ52" s="154">
        <f t="shared" si="64"/>
        <v>4.4148423056111573E-2</v>
      </c>
      <c r="BK52" s="154">
        <f t="shared" si="65"/>
        <v>3.5043962667889769E-2</v>
      </c>
      <c r="BL52" s="154">
        <f t="shared" si="66"/>
        <v>5.9513997373308626E-2</v>
      </c>
      <c r="BM52" s="145">
        <f t="shared" si="67"/>
        <v>-1.6412006282855385</v>
      </c>
    </row>
    <row r="53" spans="1:65" s="146" customFormat="1" ht="18" customHeight="1" x14ac:dyDescent="0.25">
      <c r="A53" s="269">
        <v>2012</v>
      </c>
      <c r="B53" s="86" t="s">
        <v>263</v>
      </c>
      <c r="C53" s="254">
        <v>3303044903</v>
      </c>
      <c r="D53" s="254">
        <f t="shared" si="68"/>
        <v>127271710</v>
      </c>
      <c r="E53" s="254">
        <f t="shared" si="69"/>
        <v>295971981</v>
      </c>
      <c r="F53" s="254">
        <v>10130143</v>
      </c>
      <c r="G53" s="254">
        <v>8305628</v>
      </c>
      <c r="H53" s="254">
        <v>4125395</v>
      </c>
      <c r="I53" s="254">
        <v>53465839</v>
      </c>
      <c r="J53" s="254">
        <v>51244705</v>
      </c>
      <c r="K53" s="254">
        <f t="shared" si="70"/>
        <v>127271710</v>
      </c>
      <c r="L53" s="254">
        <v>416510623</v>
      </c>
      <c r="M53" s="254">
        <v>46349617</v>
      </c>
      <c r="N53" s="254">
        <v>10851767</v>
      </c>
      <c r="O53" s="254">
        <v>4010019</v>
      </c>
      <c r="P53" s="254">
        <v>98264815</v>
      </c>
      <c r="Q53" s="254">
        <v>136495763</v>
      </c>
      <c r="R53" s="254">
        <f t="shared" si="71"/>
        <v>295971981</v>
      </c>
      <c r="S53" s="28">
        <f>Q53*'Order 30 Components'!AG17</f>
        <v>48431586.669301882</v>
      </c>
      <c r="T53" s="254">
        <f t="shared" si="30"/>
        <v>88064176.330698118</v>
      </c>
      <c r="U53" s="28">
        <f>R53*'Order 30 Components'!AG17</f>
        <v>105017125.32634783</v>
      </c>
      <c r="V53" s="259">
        <f t="shared" si="31"/>
        <v>190954855.67365217</v>
      </c>
      <c r="W53" s="260">
        <f t="shared" si="42"/>
        <v>3.8531631793562691E-2</v>
      </c>
      <c r="X53" s="154">
        <f t="shared" si="43"/>
        <v>8.960580000931341E-2</v>
      </c>
      <c r="Y53" s="260">
        <f t="shared" si="44"/>
        <v>3.1794035022341273E-2</v>
      </c>
      <c r="Z53" s="260">
        <f t="shared" si="45"/>
        <v>5.7811764986972138E-2</v>
      </c>
      <c r="AA53" s="261">
        <v>14.63</v>
      </c>
      <c r="AB53" s="261">
        <v>2.0762999999999998</v>
      </c>
      <c r="AC53" s="261">
        <v>1.4077999999999999</v>
      </c>
      <c r="AD53" s="261">
        <v>1.7345999999999999</v>
      </c>
      <c r="AE53" s="261">
        <v>1.7276</v>
      </c>
      <c r="AF53" s="261">
        <v>3.3113000000000001</v>
      </c>
      <c r="AG53" s="261">
        <v>0.4758</v>
      </c>
      <c r="AH53" s="261">
        <v>1.3569</v>
      </c>
      <c r="AI53" s="263">
        <f t="shared" si="46"/>
        <v>88749669.0229</v>
      </c>
      <c r="AJ53" s="263">
        <f t="shared" si="47"/>
        <v>9317910.5450999998</v>
      </c>
      <c r="AK53" s="263">
        <f t="shared" si="48"/>
        <v>42485274.8266</v>
      </c>
      <c r="AL53" s="264">
        <f t="shared" si="49"/>
        <v>290802800.39420551</v>
      </c>
      <c r="AM53" s="263">
        <f t="shared" si="50"/>
        <v>225703110.92989999</v>
      </c>
      <c r="AN53" s="263">
        <f t="shared" si="51"/>
        <v>657058765.71870542</v>
      </c>
      <c r="AO53" s="265">
        <v>3036504.5300000003</v>
      </c>
      <c r="AP53" s="266">
        <v>470736.73000000004</v>
      </c>
      <c r="AQ53" s="267">
        <v>11831221.220000001</v>
      </c>
      <c r="AR53" s="267">
        <v>750000</v>
      </c>
      <c r="AS53" s="263">
        <f t="shared" si="32"/>
        <v>16088462.48</v>
      </c>
      <c r="AT53" s="263">
        <f t="shared" si="52"/>
        <v>640970303.2387054</v>
      </c>
      <c r="AU53" s="263">
        <f t="shared" si="53"/>
        <v>658474133.61865926</v>
      </c>
      <c r="AV53" s="263">
        <f t="shared" si="33"/>
        <v>-17503830.379953861</v>
      </c>
      <c r="AW53" s="267">
        <f t="shared" si="54"/>
        <v>-0.52993013700951985</v>
      </c>
      <c r="AX53" s="262">
        <v>0.35</v>
      </c>
      <c r="AY53" s="262">
        <v>0.53</v>
      </c>
      <c r="AZ53" s="262">
        <v>0.13</v>
      </c>
      <c r="BA53" s="263">
        <f t="shared" si="55"/>
        <v>-6126340.6329838512</v>
      </c>
      <c r="BB53" s="263">
        <f t="shared" si="56"/>
        <v>-9277030.1013755463</v>
      </c>
      <c r="BC53" s="263">
        <f t="shared" si="57"/>
        <v>-2275497.9493940021</v>
      </c>
      <c r="BD53" s="263">
        <f t="shared" si="58"/>
        <v>-4.8135918288391435E-2</v>
      </c>
      <c r="BE53" s="263">
        <f t="shared" si="59"/>
        <v>-8.8338259808069849E-2</v>
      </c>
      <c r="BF53" s="263">
        <f t="shared" si="60"/>
        <v>-1.1916418366877768E-2</v>
      </c>
      <c r="BG53" s="263">
        <f t="shared" si="61"/>
        <v>1.6794640817116087</v>
      </c>
      <c r="BH53" s="263">
        <f t="shared" si="62"/>
        <v>3.2229617401919302</v>
      </c>
      <c r="BI53" s="263">
        <f t="shared" si="63"/>
        <v>0.46388358163312221</v>
      </c>
      <c r="BJ53" s="260">
        <f t="shared" si="64"/>
        <v>4.4331631793562691E-2</v>
      </c>
      <c r="BK53" s="260">
        <f t="shared" si="65"/>
        <v>3.4994035022341274E-2</v>
      </c>
      <c r="BL53" s="260">
        <f t="shared" si="66"/>
        <v>5.9611764986972141E-2</v>
      </c>
      <c r="BM53" s="263">
        <f t="shared" si="67"/>
        <v>-0.59356146943150245</v>
      </c>
    </row>
    <row r="54" spans="1:65" ht="18" customHeight="1" x14ac:dyDescent="0.25">
      <c r="A54" s="11">
        <v>2013</v>
      </c>
      <c r="B54" s="12" t="s">
        <v>255</v>
      </c>
      <c r="C54" s="25">
        <v>3321974145</v>
      </c>
      <c r="D54" s="26">
        <f t="shared" ref="D54:D65" si="72">+K54</f>
        <v>128607476</v>
      </c>
      <c r="E54" s="27">
        <f t="shared" ref="E54:E65" si="73">+R54</f>
        <v>297103307</v>
      </c>
      <c r="F54" s="29">
        <v>10103911</v>
      </c>
      <c r="G54" s="26">
        <v>8372810</v>
      </c>
      <c r="H54" s="28">
        <v>3702762</v>
      </c>
      <c r="I54" s="26">
        <v>56234473</v>
      </c>
      <c r="J54" s="26">
        <v>50193520</v>
      </c>
      <c r="K54" s="30">
        <f t="shared" ref="K54:K65" si="74">SUM(F54:J54)</f>
        <v>128607476</v>
      </c>
      <c r="L54" s="31">
        <v>432770233</v>
      </c>
      <c r="M54" s="32">
        <v>48170000</v>
      </c>
      <c r="N54" s="26">
        <v>11532409</v>
      </c>
      <c r="O54" s="26">
        <v>4743198</v>
      </c>
      <c r="P54" s="26">
        <v>97371470</v>
      </c>
      <c r="Q54" s="26">
        <v>135286230</v>
      </c>
      <c r="R54" s="27">
        <f t="shared" ref="R54:R65" si="75">SUM(M54:Q54)</f>
        <v>297103307</v>
      </c>
      <c r="S54" s="28">
        <f>Q54*'Order 30 Components'!AG6</f>
        <v>47681446.923890889</v>
      </c>
      <c r="T54" s="28">
        <f t="shared" si="30"/>
        <v>87604783.076109111</v>
      </c>
      <c r="U54" s="28">
        <f>R54*'Order 30 Components'!AG6</f>
        <v>104713654.62422127</v>
      </c>
      <c r="V54" s="143">
        <f t="shared" si="31"/>
        <v>192389652.37577873</v>
      </c>
      <c r="W54" s="154">
        <f t="shared" si="42"/>
        <v>3.8714171268783307E-2</v>
      </c>
      <c r="X54" s="154">
        <f t="shared" si="43"/>
        <v>8.9435767417750334E-2</v>
      </c>
      <c r="Y54" s="154">
        <f t="shared" si="44"/>
        <v>3.1521514031597399E-2</v>
      </c>
      <c r="Z54" s="154">
        <f t="shared" si="45"/>
        <v>5.7914253386152928E-2</v>
      </c>
      <c r="AA54" s="144">
        <v>13.33</v>
      </c>
      <c r="AB54" s="144">
        <v>1.7452000000000001</v>
      </c>
      <c r="AC54" s="144">
        <v>1.44</v>
      </c>
      <c r="AD54" s="144">
        <v>1.6237999999999999</v>
      </c>
      <c r="AE54" s="144">
        <v>1.6168</v>
      </c>
      <c r="AF54" s="144">
        <v>3.2862</v>
      </c>
      <c r="AG54" s="144">
        <v>0.4647</v>
      </c>
      <c r="AH54" s="144">
        <v>1.3784000000000001</v>
      </c>
      <c r="AI54" s="145">
        <f t="shared" si="46"/>
        <v>81742678.5361</v>
      </c>
      <c r="AJ54" s="145">
        <f t="shared" si="47"/>
        <v>9673569.6368000004</v>
      </c>
      <c r="AK54" s="145">
        <f t="shared" si="48"/>
        <v>43045187.893600002</v>
      </c>
      <c r="AL54" s="152">
        <f t="shared" si="49"/>
        <v>278553596.71275818</v>
      </c>
      <c r="AM54" s="145">
        <f t="shared" si="50"/>
        <v>225136730.19440001</v>
      </c>
      <c r="AN54" s="145">
        <f t="shared" si="51"/>
        <v>638151762.9736582</v>
      </c>
      <c r="AO54" s="169">
        <v>3188025.52</v>
      </c>
      <c r="AP54" s="159">
        <v>477707.99</v>
      </c>
      <c r="AQ54" s="149">
        <v>11838391.43</v>
      </c>
      <c r="AR54" s="149">
        <v>750000</v>
      </c>
      <c r="AS54" s="145">
        <f t="shared" si="32"/>
        <v>16254124.939999999</v>
      </c>
      <c r="AT54" s="145">
        <f t="shared" si="52"/>
        <v>621897638.03365815</v>
      </c>
      <c r="AU54" s="145">
        <f t="shared" si="53"/>
        <v>641446050.48194027</v>
      </c>
      <c r="AV54" s="145">
        <f t="shared" si="33"/>
        <v>-19548412.448282123</v>
      </c>
      <c r="AW54" s="149">
        <f t="shared" si="54"/>
        <v>-0.58845769398009939</v>
      </c>
      <c r="AX54" s="133">
        <v>0.32</v>
      </c>
      <c r="AY54" s="133">
        <v>0.55000000000000004</v>
      </c>
      <c r="AZ54" s="133">
        <v>0.12</v>
      </c>
      <c r="BA54" s="145">
        <f t="shared" si="55"/>
        <v>-6255491.9834502796</v>
      </c>
      <c r="BB54" s="145">
        <f t="shared" si="56"/>
        <v>-10751626.846555168</v>
      </c>
      <c r="BC54" s="145">
        <f t="shared" si="57"/>
        <v>-2345809.4937938545</v>
      </c>
      <c r="BD54" s="145">
        <f t="shared" si="58"/>
        <v>-4.8640189342105428E-2</v>
      </c>
      <c r="BE54" s="145">
        <f t="shared" si="59"/>
        <v>-0.10267645499661716</v>
      </c>
      <c r="BF54" s="145">
        <f t="shared" si="60"/>
        <v>-1.2193012798900326E-2</v>
      </c>
      <c r="BG54" s="145">
        <f t="shared" si="61"/>
        <v>1.5681598106578947</v>
      </c>
      <c r="BH54" s="145">
        <f t="shared" si="62"/>
        <v>3.183523545003383</v>
      </c>
      <c r="BI54" s="145">
        <f t="shared" si="63"/>
        <v>0.45250698720109966</v>
      </c>
      <c r="BJ54" s="154">
        <f t="shared" si="64"/>
        <v>4.4514171268783306E-2</v>
      </c>
      <c r="BK54" s="154">
        <f t="shared" si="65"/>
        <v>3.47215140315974E-2</v>
      </c>
      <c r="BL54" s="154">
        <f t="shared" si="66"/>
        <v>5.9714253386152931E-2</v>
      </c>
      <c r="BM54" s="145">
        <f t="shared" si="67"/>
        <v>-0.64583563476143913</v>
      </c>
    </row>
    <row r="55" spans="1:65" ht="18" customHeight="1" x14ac:dyDescent="0.25">
      <c r="A55" s="11">
        <v>2013</v>
      </c>
      <c r="B55" s="12" t="s">
        <v>256</v>
      </c>
      <c r="C55" s="25">
        <v>3090633381</v>
      </c>
      <c r="D55" s="26">
        <f t="shared" si="72"/>
        <v>117409318</v>
      </c>
      <c r="E55" s="27">
        <f t="shared" si="73"/>
        <v>275503163</v>
      </c>
      <c r="F55" s="29">
        <v>8667024</v>
      </c>
      <c r="G55" s="26">
        <v>8694956</v>
      </c>
      <c r="H55" s="28">
        <v>5129240</v>
      </c>
      <c r="I55" s="26">
        <v>49506920</v>
      </c>
      <c r="J55" s="26">
        <v>45411178</v>
      </c>
      <c r="K55" s="30">
        <f t="shared" si="74"/>
        <v>117409318</v>
      </c>
      <c r="L55" s="31">
        <v>376410698</v>
      </c>
      <c r="M55" s="32">
        <v>41905530</v>
      </c>
      <c r="N55" s="26">
        <v>10677147</v>
      </c>
      <c r="O55" s="26">
        <v>6070537</v>
      </c>
      <c r="P55" s="26">
        <v>92971475</v>
      </c>
      <c r="Q55" s="26">
        <v>123878474</v>
      </c>
      <c r="R55" s="27">
        <f t="shared" si="75"/>
        <v>275503163</v>
      </c>
      <c r="S55" s="28">
        <f>Q55*'Order 30 Components'!AG7</f>
        <v>43500766.354103863</v>
      </c>
      <c r="T55" s="28">
        <f t="shared" si="30"/>
        <v>80377707.645896137</v>
      </c>
      <c r="U55" s="28">
        <f>R55*'Order 30 Components'!AG7</f>
        <v>96744804.294889793</v>
      </c>
      <c r="V55" s="143">
        <f t="shared" si="31"/>
        <v>178758358.70511019</v>
      </c>
      <c r="W55" s="154">
        <f t="shared" si="42"/>
        <v>3.7988756195343767E-2</v>
      </c>
      <c r="X55" s="154">
        <f t="shared" si="43"/>
        <v>8.9141327694732486E-2</v>
      </c>
      <c r="Y55" s="154">
        <f t="shared" si="44"/>
        <v>3.1302581823401912E-2</v>
      </c>
      <c r="Z55" s="154">
        <f t="shared" si="45"/>
        <v>5.7838745871330567E-2</v>
      </c>
      <c r="AA55" s="144">
        <v>12.91</v>
      </c>
      <c r="AB55" s="144">
        <v>1.6427</v>
      </c>
      <c r="AC55" s="144">
        <v>1.4567000000000001</v>
      </c>
      <c r="AD55" s="144">
        <v>1.6689000000000001</v>
      </c>
      <c r="AE55" s="144">
        <v>1.6618999999999999</v>
      </c>
      <c r="AF55" s="144">
        <v>2.9609000000000001</v>
      </c>
      <c r="AG55" s="144">
        <v>0.45340000000000003</v>
      </c>
      <c r="AH55" s="144">
        <v>1.3742000000000001</v>
      </c>
      <c r="AI55" s="145">
        <f t="shared" si="46"/>
        <v>68241945.359600008</v>
      </c>
      <c r="AJ55" s="145">
        <f t="shared" si="47"/>
        <v>8411570.0643999986</v>
      </c>
      <c r="AK55" s="145">
        <f t="shared" si="48"/>
        <v>47467551.987199999</v>
      </c>
      <c r="AL55" s="152">
        <f t="shared" si="49"/>
        <v>240713508.46271545</v>
      </c>
      <c r="AM55" s="145">
        <f t="shared" si="50"/>
        <v>210036951.29299998</v>
      </c>
      <c r="AN55" s="145">
        <f t="shared" si="51"/>
        <v>574871527.16691542</v>
      </c>
      <c r="AO55" s="169">
        <v>2963349.2</v>
      </c>
      <c r="AP55" s="159">
        <v>438628.23</v>
      </c>
      <c r="AQ55" s="149">
        <v>10693973.42</v>
      </c>
      <c r="AR55" s="149">
        <v>750000</v>
      </c>
      <c r="AS55" s="145">
        <f t="shared" si="32"/>
        <v>14845950.85</v>
      </c>
      <c r="AT55" s="145">
        <f t="shared" si="52"/>
        <v>560025576.31691539</v>
      </c>
      <c r="AU55" s="145">
        <f t="shared" si="53"/>
        <v>562623276.45783615</v>
      </c>
      <c r="AV55" s="145">
        <f t="shared" si="33"/>
        <v>-2597700.1409207582</v>
      </c>
      <c r="AW55" s="149">
        <f t="shared" si="54"/>
        <v>-8.4050737201325734E-2</v>
      </c>
      <c r="AX55" s="133">
        <v>0.32</v>
      </c>
      <c r="AY55" s="133">
        <v>0.55000000000000004</v>
      </c>
      <c r="AZ55" s="133">
        <v>0.12</v>
      </c>
      <c r="BA55" s="145">
        <f t="shared" si="55"/>
        <v>-831264.04509464267</v>
      </c>
      <c r="BB55" s="145">
        <f t="shared" si="56"/>
        <v>-1428735.0775064172</v>
      </c>
      <c r="BC55" s="145">
        <f t="shared" si="57"/>
        <v>-311724.01691049099</v>
      </c>
      <c r="BD55" s="145">
        <f t="shared" si="58"/>
        <v>-7.0800517306015068E-3</v>
      </c>
      <c r="BE55" s="145">
        <f t="shared" si="59"/>
        <v>-1.4768080703863547E-2</v>
      </c>
      <c r="BF55" s="145">
        <f t="shared" si="60"/>
        <v>-1.7438290392044178E-3</v>
      </c>
      <c r="BG55" s="145">
        <f t="shared" si="61"/>
        <v>1.6548199482693984</v>
      </c>
      <c r="BH55" s="145">
        <f t="shared" si="62"/>
        <v>2.9461319192961364</v>
      </c>
      <c r="BI55" s="145">
        <f t="shared" si="63"/>
        <v>0.45165617096079563</v>
      </c>
      <c r="BJ55" s="154">
        <f t="shared" si="64"/>
        <v>4.3788756195343767E-2</v>
      </c>
      <c r="BK55" s="154">
        <f t="shared" si="65"/>
        <v>3.4502581823401914E-2</v>
      </c>
      <c r="BL55" s="154">
        <f t="shared" si="66"/>
        <v>5.963874587133057E-2</v>
      </c>
      <c r="BM55" s="145">
        <f t="shared" si="67"/>
        <v>-9.2356334885354496E-2</v>
      </c>
    </row>
    <row r="56" spans="1:65" ht="18" customHeight="1" x14ac:dyDescent="0.25">
      <c r="A56" s="11">
        <v>2013</v>
      </c>
      <c r="B56" s="12" t="s">
        <v>257</v>
      </c>
      <c r="C56" s="25">
        <v>3522624070</v>
      </c>
      <c r="D56" s="26">
        <f t="shared" si="72"/>
        <v>131146888</v>
      </c>
      <c r="E56" s="27">
        <f t="shared" si="73"/>
        <v>312909251</v>
      </c>
      <c r="F56" s="29">
        <v>9285031</v>
      </c>
      <c r="G56" s="26">
        <v>9775098</v>
      </c>
      <c r="H56" s="28">
        <v>7203255</v>
      </c>
      <c r="I56" s="26">
        <v>54949007</v>
      </c>
      <c r="J56" s="26">
        <v>49934497</v>
      </c>
      <c r="K56" s="30">
        <f t="shared" si="74"/>
        <v>131146888</v>
      </c>
      <c r="L56" s="31">
        <v>402217804</v>
      </c>
      <c r="M56" s="32">
        <v>44769549</v>
      </c>
      <c r="N56" s="26">
        <v>11701906</v>
      </c>
      <c r="O56" s="26">
        <v>7051566</v>
      </c>
      <c r="P56" s="26">
        <v>110053819</v>
      </c>
      <c r="Q56" s="26">
        <v>139332411</v>
      </c>
      <c r="R56" s="27">
        <f t="shared" si="75"/>
        <v>312909251</v>
      </c>
      <c r="S56" s="28">
        <f>Q56*'Order 30 Components'!AG8</f>
        <v>48713295.816964127</v>
      </c>
      <c r="T56" s="28">
        <f t="shared" si="30"/>
        <v>90619115.18303588</v>
      </c>
      <c r="U56" s="28">
        <f>R56*'Order 30 Components'!AG8</f>
        <v>109399103.90144384</v>
      </c>
      <c r="V56" s="143">
        <f t="shared" si="31"/>
        <v>203510147.09855616</v>
      </c>
      <c r="W56" s="154">
        <f t="shared" si="42"/>
        <v>3.722988470921338E-2</v>
      </c>
      <c r="X56" s="154">
        <f t="shared" si="43"/>
        <v>8.8828454238093019E-2</v>
      </c>
      <c r="Y56" s="154">
        <f t="shared" si="44"/>
        <v>3.1056139323275514E-2</v>
      </c>
      <c r="Z56" s="154">
        <f t="shared" si="45"/>
        <v>5.7772314914817512E-2</v>
      </c>
      <c r="AA56" s="144">
        <v>12.44</v>
      </c>
      <c r="AB56" s="144">
        <v>1.6564000000000001</v>
      </c>
      <c r="AC56" s="144">
        <v>1.46</v>
      </c>
      <c r="AD56" s="144">
        <v>1.7545999999999999</v>
      </c>
      <c r="AE56" s="144">
        <v>1.7476</v>
      </c>
      <c r="AF56" s="144">
        <v>2.8203999999999998</v>
      </c>
      <c r="AG56" s="144">
        <v>0.41789999999999999</v>
      </c>
      <c r="AH56" s="144">
        <v>1.3394999999999999</v>
      </c>
      <c r="AI56" s="145">
        <f t="shared" si="46"/>
        <v>70984952.0616</v>
      </c>
      <c r="AJ56" s="145">
        <f t="shared" si="47"/>
        <v>8988565.9648000002</v>
      </c>
      <c r="AK56" s="145">
        <f t="shared" si="48"/>
        <v>57170287.293799996</v>
      </c>
      <c r="AL56" s="152">
        <f t="shared" si="49"/>
        <v>262526234.7143563</v>
      </c>
      <c r="AM56" s="145">
        <f t="shared" si="50"/>
        <v>243445975.18369997</v>
      </c>
      <c r="AN56" s="145">
        <f t="shared" si="51"/>
        <v>643116015.21825624</v>
      </c>
      <c r="AO56" s="169">
        <v>3229953.29</v>
      </c>
      <c r="AP56" s="159">
        <v>479529.22</v>
      </c>
      <c r="AQ56" s="149">
        <v>11842642.300000001</v>
      </c>
      <c r="AR56" s="149">
        <v>750000</v>
      </c>
      <c r="AS56" s="145">
        <f t="shared" si="32"/>
        <v>16302124.810000001</v>
      </c>
      <c r="AT56" s="145">
        <f t="shared" si="52"/>
        <v>626813890.40825629</v>
      </c>
      <c r="AU56" s="145">
        <f t="shared" si="53"/>
        <v>622788424.58491886</v>
      </c>
      <c r="AV56" s="145">
        <f t="shared" si="33"/>
        <v>4025465.8233374357</v>
      </c>
      <c r="AW56" s="149">
        <f t="shared" si="54"/>
        <v>0.1142746357075064</v>
      </c>
      <c r="AX56" s="133">
        <v>0.32</v>
      </c>
      <c r="AY56" s="133">
        <v>0.55000000000000004</v>
      </c>
      <c r="AZ56" s="133">
        <v>0.12</v>
      </c>
      <c r="BA56" s="145">
        <f t="shared" si="55"/>
        <v>1288149.0634679794</v>
      </c>
      <c r="BB56" s="145">
        <f t="shared" si="56"/>
        <v>2214006.2028355896</v>
      </c>
      <c r="BC56" s="145">
        <f t="shared" si="57"/>
        <v>483055.89880049229</v>
      </c>
      <c r="BD56" s="145">
        <f t="shared" si="58"/>
        <v>9.8221855136050151E-3</v>
      </c>
      <c r="BE56" s="145">
        <f t="shared" si="59"/>
        <v>2.0237882431195758E-2</v>
      </c>
      <c r="BF56" s="145">
        <f t="shared" si="60"/>
        <v>2.3736207048514263E-3</v>
      </c>
      <c r="BG56" s="145">
        <f t="shared" si="61"/>
        <v>1.757422185513605</v>
      </c>
      <c r="BH56" s="145">
        <f t="shared" si="62"/>
        <v>2.8406378824311957</v>
      </c>
      <c r="BI56" s="145">
        <f t="shared" si="63"/>
        <v>0.42027362070485141</v>
      </c>
      <c r="BJ56" s="154">
        <f t="shared" si="64"/>
        <v>4.302988470921338E-2</v>
      </c>
      <c r="BK56" s="154">
        <f t="shared" si="65"/>
        <v>3.4256139323275515E-2</v>
      </c>
      <c r="BL56" s="154">
        <f t="shared" si="66"/>
        <v>5.9572314914817515E-2</v>
      </c>
      <c r="BM56" s="145">
        <f t="shared" si="67"/>
        <v>0.12573213105317815</v>
      </c>
    </row>
    <row r="57" spans="1:65" ht="18" customHeight="1" x14ac:dyDescent="0.25">
      <c r="A57" s="11">
        <v>2013</v>
      </c>
      <c r="B57" s="12" t="s">
        <v>258</v>
      </c>
      <c r="C57" s="25">
        <v>3471759253</v>
      </c>
      <c r="D57" s="26">
        <f t="shared" si="72"/>
        <v>127589111</v>
      </c>
      <c r="E57" s="27">
        <f t="shared" si="73"/>
        <v>308235130</v>
      </c>
      <c r="F57" s="29">
        <v>9335676</v>
      </c>
      <c r="G57" s="26">
        <v>10085572</v>
      </c>
      <c r="H57" s="28">
        <v>8096261</v>
      </c>
      <c r="I57" s="26">
        <v>51164497</v>
      </c>
      <c r="J57" s="26">
        <v>48907105</v>
      </c>
      <c r="K57" s="30">
        <f t="shared" si="74"/>
        <v>127589111</v>
      </c>
      <c r="L57" s="31">
        <v>406375878</v>
      </c>
      <c r="M57" s="32">
        <v>45171835</v>
      </c>
      <c r="N57" s="26">
        <v>11177956</v>
      </c>
      <c r="O57" s="26">
        <v>7857730</v>
      </c>
      <c r="P57" s="26">
        <v>105664456</v>
      </c>
      <c r="Q57" s="26">
        <v>138363153</v>
      </c>
      <c r="R57" s="27">
        <f t="shared" si="75"/>
        <v>308235130</v>
      </c>
      <c r="S57" s="28">
        <f>Q57*'Order 30 Components'!AG9</f>
        <v>48083815.863847584</v>
      </c>
      <c r="T57" s="28">
        <f t="shared" si="30"/>
        <v>90279337.136152416</v>
      </c>
      <c r="U57" s="28">
        <f>R57*'Order 30 Components'!AG9</f>
        <v>107117544.75332838</v>
      </c>
      <c r="V57" s="143">
        <f t="shared" si="31"/>
        <v>201117585.24667162</v>
      </c>
      <c r="W57" s="154">
        <f t="shared" si="42"/>
        <v>3.6750564109463611E-2</v>
      </c>
      <c r="X57" s="154">
        <f t="shared" si="43"/>
        <v>8.8783555407434808E-2</v>
      </c>
      <c r="Y57" s="154">
        <f t="shared" si="44"/>
        <v>3.08539668068189E-2</v>
      </c>
      <c r="Z57" s="154">
        <f t="shared" si="45"/>
        <v>5.7929588600615915E-2</v>
      </c>
      <c r="AA57" s="144">
        <v>12.07</v>
      </c>
      <c r="AB57" s="144">
        <v>1.7189000000000001</v>
      </c>
      <c r="AC57" s="144">
        <v>1.4189000000000001</v>
      </c>
      <c r="AD57" s="144">
        <v>1.8297000000000001</v>
      </c>
      <c r="AE57" s="144">
        <v>1.8227</v>
      </c>
      <c r="AF57" s="144">
        <v>3.0129999999999999</v>
      </c>
      <c r="AG57" s="144">
        <v>0.38629999999999998</v>
      </c>
      <c r="AH57" s="144">
        <v>1.3498000000000001</v>
      </c>
      <c r="AI57" s="145">
        <f t="shared" si="46"/>
        <v>70548902.435499996</v>
      </c>
      <c r="AJ57" s="145">
        <f t="shared" si="47"/>
        <v>9079402.7632999998</v>
      </c>
      <c r="AK57" s="145">
        <f t="shared" si="48"/>
        <v>60277034.705500007</v>
      </c>
      <c r="AL57" s="152">
        <f t="shared" si="49"/>
        <v>268894425.41696846</v>
      </c>
      <c r="AM57" s="145">
        <f t="shared" si="50"/>
        <v>235883411.39070001</v>
      </c>
      <c r="AN57" s="145">
        <f t="shared" si="51"/>
        <v>644683176.71196842</v>
      </c>
      <c r="AO57" s="169">
        <v>3209593.95</v>
      </c>
      <c r="AP57" s="159">
        <v>486486.97</v>
      </c>
      <c r="AQ57" s="149">
        <v>11452267.41</v>
      </c>
      <c r="AR57" s="149">
        <v>750000</v>
      </c>
      <c r="AS57" s="145">
        <f t="shared" si="32"/>
        <v>15898348.33</v>
      </c>
      <c r="AT57" s="145">
        <f t="shared" si="52"/>
        <v>628784828.38196838</v>
      </c>
      <c r="AU57" s="145">
        <f t="shared" si="53"/>
        <v>632993558.14226758</v>
      </c>
      <c r="AV57" s="145">
        <f t="shared" si="33"/>
        <v>-4208729.7602992058</v>
      </c>
      <c r="AW57" s="149">
        <f t="shared" si="54"/>
        <v>-0.12122758099261573</v>
      </c>
      <c r="AX57" s="133">
        <v>0.32</v>
      </c>
      <c r="AY57" s="133">
        <v>0.55000000000000004</v>
      </c>
      <c r="AZ57" s="133">
        <v>0.12</v>
      </c>
      <c r="BA57" s="145">
        <f t="shared" si="55"/>
        <v>-1346793.523295746</v>
      </c>
      <c r="BB57" s="145">
        <f t="shared" si="56"/>
        <v>-2314801.3681645636</v>
      </c>
      <c r="BC57" s="145">
        <f t="shared" si="57"/>
        <v>-505047.5712359047</v>
      </c>
      <c r="BD57" s="145">
        <f t="shared" si="58"/>
        <v>-1.0555708968735944E-2</v>
      </c>
      <c r="BE57" s="145">
        <f t="shared" si="59"/>
        <v>-2.1609918090403555E-2</v>
      </c>
      <c r="BF57" s="145">
        <f t="shared" si="60"/>
        <v>-2.5112054255049931E-3</v>
      </c>
      <c r="BG57" s="145">
        <f t="shared" si="61"/>
        <v>1.812144291031264</v>
      </c>
      <c r="BH57" s="145">
        <f t="shared" si="62"/>
        <v>2.9913900819095964</v>
      </c>
      <c r="BI57" s="145">
        <f t="shared" si="63"/>
        <v>0.383788794574495</v>
      </c>
      <c r="BJ57" s="154">
        <f t="shared" si="64"/>
        <v>4.2550564109463611E-2</v>
      </c>
      <c r="BK57" s="154">
        <f t="shared" si="65"/>
        <v>3.4053966806818901E-2</v>
      </c>
      <c r="BL57" s="154">
        <f t="shared" si="66"/>
        <v>5.9729588600615918E-2</v>
      </c>
      <c r="BM57" s="145">
        <f t="shared" si="67"/>
        <v>-0.13350480715007645</v>
      </c>
    </row>
    <row r="58" spans="1:65" ht="18" customHeight="1" x14ac:dyDescent="0.25">
      <c r="A58" s="11">
        <v>2013</v>
      </c>
      <c r="B58" s="12" t="s">
        <v>6</v>
      </c>
      <c r="C58" s="25">
        <v>3567794880</v>
      </c>
      <c r="D58" s="26">
        <f t="shared" si="72"/>
        <v>129456525</v>
      </c>
      <c r="E58" s="27">
        <f t="shared" si="73"/>
        <v>316026573</v>
      </c>
      <c r="F58" s="29">
        <v>9516920</v>
      </c>
      <c r="G58" s="26">
        <v>10843152</v>
      </c>
      <c r="H58" s="28">
        <v>8096762</v>
      </c>
      <c r="I58" s="26">
        <v>50894240</v>
      </c>
      <c r="J58" s="26">
        <v>50105451</v>
      </c>
      <c r="K58" s="30">
        <f t="shared" si="74"/>
        <v>129456525</v>
      </c>
      <c r="L58" s="31">
        <v>413810198</v>
      </c>
      <c r="M58" s="32">
        <v>45994922</v>
      </c>
      <c r="N58" s="26">
        <v>11886935</v>
      </c>
      <c r="O58" s="26">
        <v>8474279</v>
      </c>
      <c r="P58" s="26">
        <v>106710207</v>
      </c>
      <c r="Q58" s="26">
        <v>142960230</v>
      </c>
      <c r="R58" s="27">
        <f t="shared" si="75"/>
        <v>316026573</v>
      </c>
      <c r="S58" s="28">
        <f>Q58*'Order 30 Components'!AG10</f>
        <v>49370181.383978628</v>
      </c>
      <c r="T58" s="28">
        <f t="shared" si="30"/>
        <v>93590048.616021365</v>
      </c>
      <c r="U58" s="28">
        <f>R58*'Order 30 Components'!AG10</f>
        <v>109137270.07271297</v>
      </c>
      <c r="V58" s="143">
        <f t="shared" si="31"/>
        <v>206889302.92728704</v>
      </c>
      <c r="W58" s="154">
        <f t="shared" si="42"/>
        <v>3.6284744318036577E-2</v>
      </c>
      <c r="X58" s="154">
        <f t="shared" si="43"/>
        <v>8.8577562228016882E-2</v>
      </c>
      <c r="Y58" s="154">
        <f t="shared" si="44"/>
        <v>3.0589558464951039E-2</v>
      </c>
      <c r="Z58" s="154">
        <f t="shared" si="45"/>
        <v>5.7988003763065843E-2</v>
      </c>
      <c r="AA58" s="144">
        <v>11.89</v>
      </c>
      <c r="AB58" s="144">
        <v>1.7955000000000001</v>
      </c>
      <c r="AC58" s="144">
        <v>1.3989</v>
      </c>
      <c r="AD58" s="144">
        <v>1.7954000000000001</v>
      </c>
      <c r="AE58" s="144">
        <v>1.7884</v>
      </c>
      <c r="AF58" s="144">
        <v>3.3597000000000001</v>
      </c>
      <c r="AG58" s="144">
        <v>0.38869999999999999</v>
      </c>
      <c r="AH58" s="144">
        <v>1.4549000000000001</v>
      </c>
      <c r="AI58" s="145">
        <f t="shared" si="46"/>
        <v>71758458.627999991</v>
      </c>
      <c r="AJ58" s="145">
        <f t="shared" si="47"/>
        <v>9245644.188000001</v>
      </c>
      <c r="AK58" s="145">
        <f t="shared" si="48"/>
        <v>62488023.860200003</v>
      </c>
      <c r="AL58" s="152">
        <f t="shared" si="49"/>
        <v>291856038.86120045</v>
      </c>
      <c r="AM58" s="145">
        <f t="shared" si="50"/>
        <v>246271938.98030001</v>
      </c>
      <c r="AN58" s="145">
        <f t="shared" si="51"/>
        <v>681620104.51770043</v>
      </c>
      <c r="AO58" s="169">
        <v>3068666.14</v>
      </c>
      <c r="AP58" s="159">
        <v>504482.85</v>
      </c>
      <c r="AQ58" s="149">
        <v>11832855.279999999</v>
      </c>
      <c r="AR58" s="149">
        <v>750000</v>
      </c>
      <c r="AS58" s="145">
        <f t="shared" si="32"/>
        <v>16156004.27</v>
      </c>
      <c r="AT58" s="145">
        <f t="shared" si="52"/>
        <v>665464100.24770045</v>
      </c>
      <c r="AU58" s="145">
        <f t="shared" si="53"/>
        <v>678606407.62113023</v>
      </c>
      <c r="AV58" s="145">
        <f t="shared" si="33"/>
        <v>-13142307.373429775</v>
      </c>
      <c r="AW58" s="149">
        <f t="shared" si="54"/>
        <v>-0.36835938767392862</v>
      </c>
      <c r="AX58" s="133">
        <v>0.32</v>
      </c>
      <c r="AY58" s="133">
        <v>0.55000000000000004</v>
      </c>
      <c r="AZ58" s="133">
        <v>0.12</v>
      </c>
      <c r="BA58" s="145">
        <f t="shared" si="55"/>
        <v>-4205538.3594975285</v>
      </c>
      <c r="BB58" s="145">
        <f t="shared" si="56"/>
        <v>-7228269.0553863766</v>
      </c>
      <c r="BC58" s="145">
        <f t="shared" si="57"/>
        <v>-1577076.884811573</v>
      </c>
      <c r="BD58" s="145">
        <f t="shared" si="58"/>
        <v>-3.2486105737022743E-2</v>
      </c>
      <c r="BE58" s="145">
        <f t="shared" si="59"/>
        <v>-6.6230986450096507E-2</v>
      </c>
      <c r="BF58" s="145">
        <f t="shared" si="60"/>
        <v>-7.6228053480650454E-3</v>
      </c>
      <c r="BG58" s="145">
        <f t="shared" si="61"/>
        <v>1.7559138942629773</v>
      </c>
      <c r="BH58" s="145">
        <f t="shared" si="62"/>
        <v>3.2934690135499034</v>
      </c>
      <c r="BI58" s="145">
        <f t="shared" si="63"/>
        <v>0.38107719465193496</v>
      </c>
      <c r="BJ58" s="154">
        <f t="shared" si="64"/>
        <v>4.2084744318036577E-2</v>
      </c>
      <c r="BK58" s="154">
        <f t="shared" si="65"/>
        <v>3.378955846495104E-2</v>
      </c>
      <c r="BL58" s="154">
        <f t="shared" si="66"/>
        <v>5.9788003763065846E-2</v>
      </c>
      <c r="BM58" s="145">
        <f t="shared" si="67"/>
        <v>-0.40608375575134509</v>
      </c>
    </row>
    <row r="59" spans="1:65" ht="18" customHeight="1" x14ac:dyDescent="0.25">
      <c r="A59" s="11">
        <v>2013</v>
      </c>
      <c r="B59" s="12" t="s">
        <v>7</v>
      </c>
      <c r="C59" s="25">
        <v>3345239288</v>
      </c>
      <c r="D59" s="26">
        <f t="shared" si="72"/>
        <v>121120679</v>
      </c>
      <c r="E59" s="27">
        <f t="shared" si="73"/>
        <v>295191771</v>
      </c>
      <c r="F59" s="29">
        <v>8787058</v>
      </c>
      <c r="G59" s="26">
        <v>7727753</v>
      </c>
      <c r="H59" s="28">
        <v>7761513</v>
      </c>
      <c r="I59" s="26">
        <v>48417658</v>
      </c>
      <c r="J59" s="26">
        <v>48426697</v>
      </c>
      <c r="K59" s="30">
        <f t="shared" si="74"/>
        <v>121120679</v>
      </c>
      <c r="L59" s="31">
        <v>356300845</v>
      </c>
      <c r="M59" s="32">
        <v>39564643</v>
      </c>
      <c r="N59" s="26">
        <v>11413390</v>
      </c>
      <c r="O59" s="26">
        <v>7843050</v>
      </c>
      <c r="P59" s="26">
        <v>100417008</v>
      </c>
      <c r="Q59" s="26">
        <v>135953680</v>
      </c>
      <c r="R59" s="27">
        <f t="shared" si="75"/>
        <v>295191771</v>
      </c>
      <c r="S59" s="28">
        <f>Q59*'Order 30 Components'!AG11</f>
        <v>46473088.395291068</v>
      </c>
      <c r="T59" s="28">
        <f t="shared" si="30"/>
        <v>89480591.60470894</v>
      </c>
      <c r="U59" s="28">
        <f>R59*'Order 30 Components'!AG11</f>
        <v>100905494.18923797</v>
      </c>
      <c r="V59" s="143">
        <f t="shared" si="31"/>
        <v>194286276.81076205</v>
      </c>
      <c r="W59" s="154">
        <f t="shared" si="42"/>
        <v>3.6206880456797985E-2</v>
      </c>
      <c r="X59" s="154">
        <f t="shared" si="43"/>
        <v>8.8242348479795799E-2</v>
      </c>
      <c r="Y59" s="154">
        <f t="shared" si="44"/>
        <v>3.0163909216062622E-2</v>
      </c>
      <c r="Z59" s="154">
        <f t="shared" si="45"/>
        <v>5.8078439263733184E-2</v>
      </c>
      <c r="AA59" s="144">
        <v>13.09</v>
      </c>
      <c r="AB59" s="144">
        <v>1.8</v>
      </c>
      <c r="AC59" s="144">
        <v>1.5322</v>
      </c>
      <c r="AD59" s="144">
        <v>1.6669</v>
      </c>
      <c r="AE59" s="144">
        <v>1.6598999999999999</v>
      </c>
      <c r="AF59" s="144">
        <v>3.3454999999999999</v>
      </c>
      <c r="AG59" s="144">
        <v>0.38590000000000002</v>
      </c>
      <c r="AH59" s="144">
        <v>1.5047999999999999</v>
      </c>
      <c r="AI59" s="145">
        <f t="shared" si="46"/>
        <v>67635496.779200003</v>
      </c>
      <c r="AJ59" s="145">
        <f t="shared" si="47"/>
        <v>7971655.1562000001</v>
      </c>
      <c r="AK59" s="145">
        <f t="shared" si="48"/>
        <v>55323774.863399997</v>
      </c>
      <c r="AL59" s="152">
        <f t="shared" si="49"/>
        <v>270389751.87700343</v>
      </c>
      <c r="AM59" s="145">
        <f t="shared" si="50"/>
        <v>231475984.15259999</v>
      </c>
      <c r="AN59" s="145">
        <f t="shared" si="51"/>
        <v>632796662.82840347</v>
      </c>
      <c r="AO59" s="169">
        <v>3000336.0999999996</v>
      </c>
      <c r="AP59" s="159">
        <v>450825.09</v>
      </c>
      <c r="AQ59" s="149">
        <v>11446337.289999999</v>
      </c>
      <c r="AR59" s="149">
        <v>750000</v>
      </c>
      <c r="AS59" s="145">
        <f t="shared" si="32"/>
        <v>15647498.479999999</v>
      </c>
      <c r="AT59" s="145">
        <f t="shared" si="52"/>
        <v>617149164.34840345</v>
      </c>
      <c r="AU59" s="145">
        <f t="shared" si="53"/>
        <v>613602620.10346866</v>
      </c>
      <c r="AV59" s="145">
        <f t="shared" si="33"/>
        <v>3546544.2449347973</v>
      </c>
      <c r="AW59" s="149">
        <f t="shared" si="54"/>
        <v>0.10601765493000503</v>
      </c>
      <c r="AX59" s="133">
        <v>0.32</v>
      </c>
      <c r="AY59" s="133">
        <v>0.55000000000000004</v>
      </c>
      <c r="AZ59" s="133">
        <v>0.12</v>
      </c>
      <c r="BA59" s="145">
        <f t="shared" si="55"/>
        <v>1134894.1583791352</v>
      </c>
      <c r="BB59" s="145">
        <f t="shared" si="56"/>
        <v>1950599.3347141386</v>
      </c>
      <c r="BC59" s="145">
        <f t="shared" si="57"/>
        <v>425585.30939217564</v>
      </c>
      <c r="BD59" s="145">
        <f t="shared" si="58"/>
        <v>9.3699454770983844E-3</v>
      </c>
      <c r="BE59" s="145">
        <f t="shared" si="59"/>
        <v>1.9330952693774914E-2</v>
      </c>
      <c r="BF59" s="145">
        <f t="shared" si="60"/>
        <v>2.1905062795902078E-3</v>
      </c>
      <c r="BG59" s="145">
        <f t="shared" si="61"/>
        <v>1.6692699454770983</v>
      </c>
      <c r="BH59" s="145">
        <f t="shared" si="62"/>
        <v>3.364830952693775</v>
      </c>
      <c r="BI59" s="145">
        <f t="shared" si="63"/>
        <v>0.38809050627959024</v>
      </c>
      <c r="BJ59" s="154">
        <f t="shared" si="64"/>
        <v>4.2006880456797985E-2</v>
      </c>
      <c r="BK59" s="154">
        <f t="shared" si="65"/>
        <v>3.3363909216062623E-2</v>
      </c>
      <c r="BL59" s="154">
        <f t="shared" si="66"/>
        <v>5.9878439263733187E-2</v>
      </c>
      <c r="BM59" s="145">
        <f t="shared" si="67"/>
        <v>0.11697224274975628</v>
      </c>
    </row>
    <row r="60" spans="1:65" ht="18" customHeight="1" x14ac:dyDescent="0.25">
      <c r="A60" s="11">
        <v>2013</v>
      </c>
      <c r="B60" s="12" t="s">
        <v>8</v>
      </c>
      <c r="C60" s="25">
        <v>3232790652</v>
      </c>
      <c r="D60" s="26">
        <f t="shared" si="72"/>
        <v>116624417</v>
      </c>
      <c r="E60" s="27">
        <f t="shared" si="73"/>
        <v>283871139</v>
      </c>
      <c r="F60" s="29">
        <v>9798386</v>
      </c>
      <c r="G60" s="26">
        <v>7945054</v>
      </c>
      <c r="H60" s="28">
        <v>7834025</v>
      </c>
      <c r="I60" s="26">
        <v>43456424</v>
      </c>
      <c r="J60" s="26">
        <v>47590528</v>
      </c>
      <c r="K60" s="30">
        <f t="shared" si="74"/>
        <v>116624417</v>
      </c>
      <c r="L60" s="31">
        <v>389703256</v>
      </c>
      <c r="M60" s="32">
        <v>43121030</v>
      </c>
      <c r="N60" s="26">
        <v>11409173</v>
      </c>
      <c r="O60" s="26">
        <v>7971725</v>
      </c>
      <c r="P60" s="26">
        <v>87246237</v>
      </c>
      <c r="Q60" s="26">
        <v>134122974</v>
      </c>
      <c r="R60" s="27">
        <f t="shared" si="75"/>
        <v>283871139</v>
      </c>
      <c r="S60" s="28">
        <f>Q60*'Order 30 Components'!AG12</f>
        <v>45528602.296170846</v>
      </c>
      <c r="T60" s="28">
        <f t="shared" si="30"/>
        <v>88594371.703829154</v>
      </c>
      <c r="U60" s="28">
        <f>R60*'Order 30 Components'!AG12</f>
        <v>96361240.773650259</v>
      </c>
      <c r="V60" s="143">
        <f t="shared" si="31"/>
        <v>187509898.22634974</v>
      </c>
      <c r="W60" s="154">
        <f t="shared" si="42"/>
        <v>3.6075462210288525E-2</v>
      </c>
      <c r="X60" s="154">
        <f t="shared" si="43"/>
        <v>8.7809935612248854E-2</v>
      </c>
      <c r="Y60" s="154">
        <f t="shared" si="44"/>
        <v>2.9807448469957483E-2</v>
      </c>
      <c r="Z60" s="154">
        <f t="shared" si="45"/>
        <v>5.8002487142291372E-2</v>
      </c>
      <c r="AA60" s="144">
        <v>13.5</v>
      </c>
      <c r="AB60" s="144">
        <v>1.6802999999999999</v>
      </c>
      <c r="AC60" s="144">
        <v>1.5778000000000001</v>
      </c>
      <c r="AD60" s="144">
        <v>1.5763</v>
      </c>
      <c r="AE60" s="144">
        <v>1.5692999999999999</v>
      </c>
      <c r="AF60" s="144">
        <v>3.2256999999999998</v>
      </c>
      <c r="AG60" s="144">
        <v>0.39269999999999999</v>
      </c>
      <c r="AH60" s="144">
        <v>1.5438000000000001</v>
      </c>
      <c r="AI60" s="145">
        <f t="shared" si="46"/>
        <v>74895506.605800003</v>
      </c>
      <c r="AJ60" s="145">
        <f t="shared" si="47"/>
        <v>8719666.6383999996</v>
      </c>
      <c r="AK60" s="145">
        <f t="shared" si="48"/>
        <v>55451743.092100002</v>
      </c>
      <c r="AL60" s="152">
        <f t="shared" si="49"/>
        <v>256336437.78525198</v>
      </c>
      <c r="AM60" s="145">
        <f t="shared" si="50"/>
        <v>202886906.86380002</v>
      </c>
      <c r="AN60" s="145">
        <f t="shared" si="51"/>
        <v>598290260.98535204</v>
      </c>
      <c r="AO60" s="169">
        <v>3213324.64</v>
      </c>
      <c r="AP60" s="159">
        <v>499139.83</v>
      </c>
      <c r="AQ60" s="149">
        <v>11828976.470000001</v>
      </c>
      <c r="AR60" s="149">
        <v>750000</v>
      </c>
      <c r="AS60" s="145">
        <f t="shared" si="32"/>
        <v>16291440.940000001</v>
      </c>
      <c r="AT60" s="145">
        <f t="shared" si="52"/>
        <v>581998820.04535198</v>
      </c>
      <c r="AU60" s="145">
        <f t="shared" si="53"/>
        <v>567486288.99515116</v>
      </c>
      <c r="AV60" s="145">
        <f t="shared" si="33"/>
        <v>14512531.05020082</v>
      </c>
      <c r="AW60" s="149">
        <f t="shared" si="54"/>
        <v>0.44891651246338793</v>
      </c>
      <c r="AX60" s="133">
        <v>0.32</v>
      </c>
      <c r="AY60" s="133">
        <v>0.55000000000000004</v>
      </c>
      <c r="AZ60" s="133">
        <v>0.12</v>
      </c>
      <c r="BA60" s="145">
        <f t="shared" si="55"/>
        <v>4644009.9360642629</v>
      </c>
      <c r="BB60" s="145">
        <f t="shared" si="56"/>
        <v>7981892.0776104517</v>
      </c>
      <c r="BC60" s="145">
        <f t="shared" si="57"/>
        <v>1741503.7260240982</v>
      </c>
      <c r="BD60" s="145">
        <f t="shared" si="58"/>
        <v>3.9820219946430799E-2</v>
      </c>
      <c r="BE60" s="145">
        <f t="shared" si="59"/>
        <v>8.2833014742511285E-2</v>
      </c>
      <c r="BF60" s="145">
        <f t="shared" si="60"/>
        <v>9.2875295784218721E-3</v>
      </c>
      <c r="BG60" s="145">
        <f t="shared" si="61"/>
        <v>1.6091202199464307</v>
      </c>
      <c r="BH60" s="145">
        <f t="shared" si="62"/>
        <v>3.3085330147425109</v>
      </c>
      <c r="BI60" s="145">
        <f t="shared" si="63"/>
        <v>0.40198752957842188</v>
      </c>
      <c r="BJ60" s="154">
        <f t="shared" si="64"/>
        <v>4.1875462210288525E-2</v>
      </c>
      <c r="BK60" s="154">
        <f t="shared" si="65"/>
        <v>3.3007448469957484E-2</v>
      </c>
      <c r="BL60" s="154">
        <f t="shared" si="66"/>
        <v>5.9802487142291375E-2</v>
      </c>
      <c r="BM60" s="145">
        <f t="shared" si="67"/>
        <v>0.49570139494940352</v>
      </c>
    </row>
    <row r="61" spans="1:65" ht="18" customHeight="1" x14ac:dyDescent="0.25">
      <c r="A61" s="11">
        <v>2013</v>
      </c>
      <c r="B61" s="12" t="s">
        <v>259</v>
      </c>
      <c r="C61" s="25">
        <v>3273269387</v>
      </c>
      <c r="D61" s="26">
        <f t="shared" si="72"/>
        <v>118939253</v>
      </c>
      <c r="E61" s="27">
        <f t="shared" si="73"/>
        <v>289536751</v>
      </c>
      <c r="F61" s="29">
        <v>9762576</v>
      </c>
      <c r="G61" s="26">
        <v>8428309</v>
      </c>
      <c r="H61" s="28">
        <v>7241216</v>
      </c>
      <c r="I61" s="26">
        <v>45440342</v>
      </c>
      <c r="J61" s="26">
        <v>48066810</v>
      </c>
      <c r="K61" s="30">
        <f t="shared" si="74"/>
        <v>118939253</v>
      </c>
      <c r="L61" s="31">
        <v>409380612</v>
      </c>
      <c r="M61" s="32">
        <v>45321254</v>
      </c>
      <c r="N61" s="26">
        <v>13748648</v>
      </c>
      <c r="O61" s="26">
        <v>7287158</v>
      </c>
      <c r="P61" s="26">
        <v>88730164</v>
      </c>
      <c r="Q61" s="26">
        <v>134449527</v>
      </c>
      <c r="R61" s="27">
        <f t="shared" si="75"/>
        <v>289536751</v>
      </c>
      <c r="S61" s="28">
        <f>Q61*'Order 30 Components'!AG13</f>
        <v>45986915.038195662</v>
      </c>
      <c r="T61" s="28">
        <f t="shared" si="30"/>
        <v>88462611.96180433</v>
      </c>
      <c r="U61" s="28">
        <f>R61*'Order 30 Components'!AG13</f>
        <v>99032717.078076541</v>
      </c>
      <c r="V61" s="143">
        <f t="shared" si="31"/>
        <v>190504033.92192346</v>
      </c>
      <c r="W61" s="154">
        <f t="shared" si="42"/>
        <v>3.6336530525832945E-2</v>
      </c>
      <c r="X61" s="154">
        <f t="shared" si="43"/>
        <v>8.8454910600977071E-2</v>
      </c>
      <c r="Y61" s="154">
        <f t="shared" si="44"/>
        <v>3.0254985266837904E-2</v>
      </c>
      <c r="Z61" s="154">
        <f t="shared" si="45"/>
        <v>5.819992533413916E-2</v>
      </c>
      <c r="AA61" s="144">
        <v>13.77</v>
      </c>
      <c r="AB61" s="144">
        <v>1.5969</v>
      </c>
      <c r="AC61" s="144">
        <v>1.6077999999999999</v>
      </c>
      <c r="AD61" s="144">
        <v>1.5174000000000001</v>
      </c>
      <c r="AE61" s="144">
        <v>1.5104</v>
      </c>
      <c r="AF61" s="144">
        <v>3.4775</v>
      </c>
      <c r="AG61" s="144">
        <v>0.3901</v>
      </c>
      <c r="AH61" s="144">
        <v>1.5868</v>
      </c>
      <c r="AI61" s="145">
        <f t="shared" si="46"/>
        <v>78202304.562599987</v>
      </c>
      <c r="AJ61" s="145">
        <f t="shared" si="47"/>
        <v>9149949.5074000005</v>
      </c>
      <c r="AK61" s="145">
        <f t="shared" si="48"/>
        <v>57598306.121800005</v>
      </c>
      <c r="AL61" s="152">
        <f t="shared" si="49"/>
        <v>267028871.7956253</v>
      </c>
      <c r="AM61" s="145">
        <f t="shared" si="50"/>
        <v>209430116.792</v>
      </c>
      <c r="AN61" s="145">
        <f t="shared" si="51"/>
        <v>621409548.77942538</v>
      </c>
      <c r="AO61" s="169">
        <v>3436800.17</v>
      </c>
      <c r="AP61" s="159">
        <v>500666.31</v>
      </c>
      <c r="AQ61" s="149">
        <v>11827015.18</v>
      </c>
      <c r="AR61" s="149">
        <v>750000</v>
      </c>
      <c r="AS61" s="145">
        <f t="shared" si="32"/>
        <v>16514481.66</v>
      </c>
      <c r="AT61" s="145">
        <f t="shared" si="52"/>
        <v>604895067.11942542</v>
      </c>
      <c r="AU61" s="145">
        <f t="shared" si="53"/>
        <v>598347745.00315356</v>
      </c>
      <c r="AV61" s="145">
        <f t="shared" si="33"/>
        <v>6547322.1162718534</v>
      </c>
      <c r="AW61" s="149">
        <f t="shared" si="54"/>
        <v>0.20002393149414968</v>
      </c>
      <c r="AX61" s="133">
        <v>0.32</v>
      </c>
      <c r="AY61" s="133">
        <v>0.55000000000000004</v>
      </c>
      <c r="AZ61" s="133">
        <v>0.12</v>
      </c>
      <c r="BA61" s="145">
        <f t="shared" si="55"/>
        <v>2095143.0772069932</v>
      </c>
      <c r="BB61" s="145">
        <f t="shared" si="56"/>
        <v>3601027.1639495199</v>
      </c>
      <c r="BC61" s="145">
        <f t="shared" si="57"/>
        <v>785678.65395262244</v>
      </c>
      <c r="BD61" s="145">
        <f t="shared" si="58"/>
        <v>1.7615236554470316E-2</v>
      </c>
      <c r="BE61" s="145">
        <f t="shared" si="59"/>
        <v>3.6361995007271192E-2</v>
      </c>
      <c r="BF61" s="145">
        <f t="shared" si="60"/>
        <v>4.1242100641009343E-3</v>
      </c>
      <c r="BG61" s="145">
        <f t="shared" si="61"/>
        <v>1.5280152365544704</v>
      </c>
      <c r="BH61" s="145">
        <f t="shared" si="62"/>
        <v>3.5138619950072711</v>
      </c>
      <c r="BI61" s="145">
        <f t="shared" si="63"/>
        <v>0.39422421006410091</v>
      </c>
      <c r="BJ61" s="154">
        <f t="shared" si="64"/>
        <v>4.2136530525832945E-2</v>
      </c>
      <c r="BK61" s="154">
        <f t="shared" si="65"/>
        <v>3.3454985266837906E-2</v>
      </c>
      <c r="BL61" s="154">
        <f t="shared" si="66"/>
        <v>5.9999925334139163E-2</v>
      </c>
      <c r="BM61" s="145">
        <f t="shared" si="67"/>
        <v>0.22061872559466594</v>
      </c>
    </row>
    <row r="62" spans="1:65" ht="18" customHeight="1" x14ac:dyDescent="0.25">
      <c r="A62" s="11">
        <v>2013</v>
      </c>
      <c r="B62" s="12" t="s">
        <v>260</v>
      </c>
      <c r="C62" s="25">
        <v>3078337153</v>
      </c>
      <c r="D62" s="26">
        <f t="shared" si="72"/>
        <v>113702204</v>
      </c>
      <c r="E62" s="27">
        <f t="shared" si="73"/>
        <v>273409393</v>
      </c>
      <c r="F62" s="29">
        <v>9532800</v>
      </c>
      <c r="G62" s="26">
        <v>8164808</v>
      </c>
      <c r="H62" s="28">
        <v>6495102</v>
      </c>
      <c r="I62" s="26">
        <v>42541462</v>
      </c>
      <c r="J62" s="26">
        <v>46968032</v>
      </c>
      <c r="K62" s="30">
        <f t="shared" si="74"/>
        <v>113702204</v>
      </c>
      <c r="L62" s="31">
        <v>410321530</v>
      </c>
      <c r="M62" s="32">
        <v>45691861</v>
      </c>
      <c r="N62" s="26">
        <v>11607820</v>
      </c>
      <c r="O62" s="26">
        <v>6645255</v>
      </c>
      <c r="P62" s="26">
        <v>79927600</v>
      </c>
      <c r="Q62" s="26">
        <v>129536857</v>
      </c>
      <c r="R62" s="27">
        <f t="shared" si="75"/>
        <v>273409393</v>
      </c>
      <c r="S62" s="28">
        <f>Q62*'Order 30 Components'!AG14</f>
        <v>45099237.716568604</v>
      </c>
      <c r="T62" s="28">
        <f t="shared" si="30"/>
        <v>84437619.283431396</v>
      </c>
      <c r="U62" s="28">
        <f>R62*'Order 30 Components'!AG14</f>
        <v>95189550.637697875</v>
      </c>
      <c r="V62" s="143">
        <f t="shared" si="31"/>
        <v>178219842.36230212</v>
      </c>
      <c r="W62" s="154">
        <f t="shared" si="42"/>
        <v>3.6936241337044991E-2</v>
      </c>
      <c r="X62" s="154">
        <f t="shared" si="43"/>
        <v>8.8817234568847755E-2</v>
      </c>
      <c r="Y62" s="154">
        <f t="shared" si="44"/>
        <v>3.0922392807081152E-2</v>
      </c>
      <c r="Z62" s="154">
        <f t="shared" si="45"/>
        <v>5.7894841761766611E-2</v>
      </c>
      <c r="AA62" s="144">
        <v>14.26</v>
      </c>
      <c r="AB62" s="144">
        <v>1.542</v>
      </c>
      <c r="AC62" s="144">
        <v>1.6621999999999999</v>
      </c>
      <c r="AD62" s="144">
        <v>1.5266</v>
      </c>
      <c r="AE62" s="144">
        <v>1.5196000000000001</v>
      </c>
      <c r="AF62" s="144">
        <v>3.5419</v>
      </c>
      <c r="AG62" s="144">
        <v>0.39140000000000003</v>
      </c>
      <c r="AH62" s="144">
        <v>1.6243000000000001</v>
      </c>
      <c r="AI62" s="145">
        <f t="shared" si="46"/>
        <v>79727087.156599998</v>
      </c>
      <c r="AJ62" s="145">
        <f t="shared" si="47"/>
        <v>9171259.9627</v>
      </c>
      <c r="AK62" s="145">
        <f t="shared" si="48"/>
        <v>52720079.870999992</v>
      </c>
      <c r="AL62" s="152">
        <f t="shared" si="49"/>
        <v>264158495.68304938</v>
      </c>
      <c r="AM62" s="145">
        <f t="shared" si="50"/>
        <v>194472406.33520001</v>
      </c>
      <c r="AN62" s="145">
        <f t="shared" si="51"/>
        <v>600249329.00854945</v>
      </c>
      <c r="AO62" s="169">
        <v>3386118.5900000003</v>
      </c>
      <c r="AP62" s="159">
        <v>499385.68</v>
      </c>
      <c r="AQ62" s="149">
        <v>11445348.82</v>
      </c>
      <c r="AR62" s="149">
        <v>750000</v>
      </c>
      <c r="AS62" s="145">
        <f t="shared" si="32"/>
        <v>16080853.09</v>
      </c>
      <c r="AT62" s="145">
        <f t="shared" si="52"/>
        <v>584168475.91854942</v>
      </c>
      <c r="AU62" s="145">
        <f t="shared" si="53"/>
        <v>579688984.90266716</v>
      </c>
      <c r="AV62" s="145">
        <f t="shared" si="33"/>
        <v>4479491.0158822536</v>
      </c>
      <c r="AW62" s="149">
        <f t="shared" si="54"/>
        <v>0.14551658227289224</v>
      </c>
      <c r="AX62" s="133">
        <v>0.32</v>
      </c>
      <c r="AY62" s="133">
        <v>0.55000000000000004</v>
      </c>
      <c r="AZ62" s="133">
        <v>0.12</v>
      </c>
      <c r="BA62" s="145">
        <f t="shared" si="55"/>
        <v>1433437.1250823212</v>
      </c>
      <c r="BB62" s="145">
        <f t="shared" si="56"/>
        <v>2463720.0587352398</v>
      </c>
      <c r="BC62" s="145">
        <f t="shared" si="57"/>
        <v>537538.92190587043</v>
      </c>
      <c r="BD62" s="145">
        <f t="shared" si="58"/>
        <v>1.2606942298869784E-2</v>
      </c>
      <c r="BE62" s="145">
        <f t="shared" si="59"/>
        <v>2.5882253274967491E-2</v>
      </c>
      <c r="BF62" s="145">
        <f t="shared" si="60"/>
        <v>3.0161564210853162E-3</v>
      </c>
      <c r="BG62" s="145">
        <f t="shared" si="61"/>
        <v>1.5322069422988698</v>
      </c>
      <c r="BH62" s="145">
        <f t="shared" si="62"/>
        <v>3.5677822532749675</v>
      </c>
      <c r="BI62" s="145">
        <f t="shared" si="63"/>
        <v>0.39441615642108535</v>
      </c>
      <c r="BJ62" s="154">
        <f t="shared" si="64"/>
        <v>4.273624133704499E-2</v>
      </c>
      <c r="BK62" s="154">
        <f t="shared" si="65"/>
        <v>3.4122392807081153E-2</v>
      </c>
      <c r="BL62" s="154">
        <f t="shared" si="66"/>
        <v>5.9694841761766614E-2</v>
      </c>
      <c r="BM62" s="145">
        <f t="shared" si="67"/>
        <v>0.16019867218729275</v>
      </c>
    </row>
    <row r="63" spans="1:65" ht="18" customHeight="1" x14ac:dyDescent="0.25">
      <c r="A63" s="11">
        <v>2013</v>
      </c>
      <c r="B63" s="12" t="s">
        <v>261</v>
      </c>
      <c r="C63" s="25">
        <v>3212104898</v>
      </c>
      <c r="D63" s="26">
        <f t="shared" si="72"/>
        <v>122269124</v>
      </c>
      <c r="E63" s="27">
        <f t="shared" si="73"/>
        <v>288731547</v>
      </c>
      <c r="F63" s="29">
        <v>10220848</v>
      </c>
      <c r="G63" s="26">
        <v>11421637</v>
      </c>
      <c r="H63" s="28">
        <v>6416030</v>
      </c>
      <c r="I63" s="26">
        <v>44438746</v>
      </c>
      <c r="J63" s="26">
        <v>49771863</v>
      </c>
      <c r="K63" s="30">
        <f t="shared" si="74"/>
        <v>122269124</v>
      </c>
      <c r="L63" s="31">
        <v>438112507</v>
      </c>
      <c r="M63" s="32">
        <v>48983130</v>
      </c>
      <c r="N63" s="26">
        <v>11965114</v>
      </c>
      <c r="O63" s="26">
        <v>6647889</v>
      </c>
      <c r="P63" s="26">
        <v>86307020</v>
      </c>
      <c r="Q63" s="26">
        <v>134828394</v>
      </c>
      <c r="R63" s="27">
        <f t="shared" si="75"/>
        <v>288731547</v>
      </c>
      <c r="S63" s="28">
        <f>Q63*'Order 30 Components'!AG15</f>
        <v>47726008.524951994</v>
      </c>
      <c r="T63" s="28">
        <f t="shared" si="30"/>
        <v>87102385.475048006</v>
      </c>
      <c r="U63" s="28">
        <f>R63*'Order 30 Components'!AG15</f>
        <v>102204022.94152208</v>
      </c>
      <c r="V63" s="143">
        <f t="shared" si="31"/>
        <v>186527524.05847794</v>
      </c>
      <c r="W63" s="154">
        <f t="shared" si="42"/>
        <v>3.8065109292081407E-2</v>
      </c>
      <c r="X63" s="154">
        <f t="shared" si="43"/>
        <v>8.988857965995356E-2</v>
      </c>
      <c r="Y63" s="154">
        <f t="shared" si="44"/>
        <v>3.1818395160493937E-2</v>
      </c>
      <c r="Z63" s="154">
        <f t="shared" si="45"/>
        <v>5.8070184499459623E-2</v>
      </c>
      <c r="AA63" s="144">
        <v>14.55</v>
      </c>
      <c r="AB63" s="144">
        <v>1.4726999999999999</v>
      </c>
      <c r="AC63" s="144">
        <v>1.6943999999999999</v>
      </c>
      <c r="AD63" s="144">
        <v>1.6708000000000001</v>
      </c>
      <c r="AE63" s="144">
        <v>1.6637999999999999</v>
      </c>
      <c r="AF63" s="144">
        <v>3.4106999999999998</v>
      </c>
      <c r="AG63" s="144">
        <v>0.38519999999999999</v>
      </c>
      <c r="AH63" s="144">
        <v>1.6520999999999999</v>
      </c>
      <c r="AI63" s="145">
        <f t="shared" si="46"/>
        <v>85924658.033100009</v>
      </c>
      <c r="AJ63" s="145">
        <f t="shared" si="47"/>
        <v>9797134.7544999998</v>
      </c>
      <c r="AK63" s="145">
        <f t="shared" si="48"/>
        <v>61341046.3068</v>
      </c>
      <c r="AL63" s="152">
        <f t="shared" si="49"/>
        <v>279141361.82044226</v>
      </c>
      <c r="AM63" s="145">
        <f t="shared" si="50"/>
        <v>216525013.33679998</v>
      </c>
      <c r="AN63" s="145">
        <f t="shared" si="51"/>
        <v>652729214.25164223</v>
      </c>
      <c r="AO63" s="169">
        <v>3415569.42</v>
      </c>
      <c r="AP63" s="159">
        <v>479871.9</v>
      </c>
      <c r="AQ63" s="149">
        <v>11838048.859999999</v>
      </c>
      <c r="AR63" s="149">
        <v>750000</v>
      </c>
      <c r="AS63" s="145">
        <f t="shared" si="32"/>
        <v>16483490.18</v>
      </c>
      <c r="AT63" s="145">
        <f t="shared" si="52"/>
        <v>636245724.07164228</v>
      </c>
      <c r="AU63" s="145">
        <f t="shared" si="53"/>
        <v>623869031.82517505</v>
      </c>
      <c r="AV63" s="145">
        <f t="shared" si="33"/>
        <v>12376692.246467233</v>
      </c>
      <c r="AW63" s="149">
        <f t="shared" si="54"/>
        <v>0.38531407408810076</v>
      </c>
      <c r="AX63" s="133">
        <v>0.32</v>
      </c>
      <c r="AY63" s="133">
        <v>0.55000000000000004</v>
      </c>
      <c r="AZ63" s="133">
        <v>0.12</v>
      </c>
      <c r="BA63" s="145">
        <f t="shared" si="55"/>
        <v>3960541.5188695146</v>
      </c>
      <c r="BB63" s="145">
        <f t="shared" si="56"/>
        <v>6807180.7355569787</v>
      </c>
      <c r="BC63" s="145">
        <f t="shared" si="57"/>
        <v>1485203.0695760678</v>
      </c>
      <c r="BD63" s="145">
        <f t="shared" si="58"/>
        <v>3.2392000443787546E-2</v>
      </c>
      <c r="BE63" s="145">
        <f t="shared" si="59"/>
        <v>6.6603843367807877E-2</v>
      </c>
      <c r="BF63" s="145">
        <f t="shared" si="60"/>
        <v>7.9623802281879007E-3</v>
      </c>
      <c r="BG63" s="145">
        <f t="shared" si="61"/>
        <v>1.6961920004437876</v>
      </c>
      <c r="BH63" s="145">
        <f t="shared" si="62"/>
        <v>3.4773038433678076</v>
      </c>
      <c r="BI63" s="145">
        <f t="shared" si="63"/>
        <v>0.39316238022818789</v>
      </c>
      <c r="BJ63" s="154">
        <f t="shared" si="64"/>
        <v>4.3865109292081407E-2</v>
      </c>
      <c r="BK63" s="154">
        <f t="shared" si="65"/>
        <v>3.5018395160493938E-2</v>
      </c>
      <c r="BL63" s="154">
        <f t="shared" si="66"/>
        <v>5.9870184499459626E-2</v>
      </c>
      <c r="BM63" s="145">
        <f t="shared" si="67"/>
        <v>0.42299475192338887</v>
      </c>
    </row>
    <row r="64" spans="1:65" ht="18" customHeight="1" x14ac:dyDescent="0.25">
      <c r="A64" s="11">
        <v>2013</v>
      </c>
      <c r="B64" s="12" t="s">
        <v>262</v>
      </c>
      <c r="C64" s="25">
        <v>3160081007</v>
      </c>
      <c r="D64" s="26">
        <f t="shared" si="72"/>
        <v>120698015</v>
      </c>
      <c r="E64" s="27">
        <f t="shared" si="73"/>
        <v>285192856</v>
      </c>
      <c r="F64" s="29">
        <v>9654190</v>
      </c>
      <c r="G64" s="26">
        <v>11835684</v>
      </c>
      <c r="H64" s="28">
        <v>5018873</v>
      </c>
      <c r="I64" s="26">
        <v>44786078</v>
      </c>
      <c r="J64" s="26">
        <v>49403190</v>
      </c>
      <c r="K64" s="30">
        <f t="shared" si="74"/>
        <v>120698015</v>
      </c>
      <c r="L64" s="31">
        <v>401652848</v>
      </c>
      <c r="M64" s="32">
        <v>45014342</v>
      </c>
      <c r="N64" s="26">
        <v>11385805</v>
      </c>
      <c r="O64" s="26">
        <v>8711550</v>
      </c>
      <c r="P64" s="26">
        <v>87338937</v>
      </c>
      <c r="Q64" s="26">
        <v>132742222</v>
      </c>
      <c r="R64" s="27">
        <f t="shared" si="75"/>
        <v>285192856</v>
      </c>
      <c r="S64" s="28">
        <f>Q64*'Order 30 Components'!AG16</f>
        <v>47198912.970731094</v>
      </c>
      <c r="T64" s="28">
        <f t="shared" si="30"/>
        <v>85543309.029268906</v>
      </c>
      <c r="U64" s="28">
        <f>R64*'Order 30 Components'!AG16</f>
        <v>101405510.52564304</v>
      </c>
      <c r="V64" s="143">
        <f t="shared" si="31"/>
        <v>183787345.47435695</v>
      </c>
      <c r="W64" s="154">
        <f t="shared" si="42"/>
        <v>3.8194595243804773E-2</v>
      </c>
      <c r="X64" s="154">
        <f t="shared" si="43"/>
        <v>9.0248590263433084E-2</v>
      </c>
      <c r="Y64" s="154">
        <f t="shared" si="44"/>
        <v>3.2089528813032432E-2</v>
      </c>
      <c r="Z64" s="154">
        <f t="shared" si="45"/>
        <v>5.8159061450400645E-2</v>
      </c>
      <c r="AA64" s="144">
        <v>14.86</v>
      </c>
      <c r="AB64" s="144">
        <v>1.6755</v>
      </c>
      <c r="AC64" s="144">
        <v>1.7289000000000001</v>
      </c>
      <c r="AD64" s="144">
        <v>1.6406000000000001</v>
      </c>
      <c r="AE64" s="144">
        <v>1.6335999999999999</v>
      </c>
      <c r="AF64" s="144">
        <v>3.6316000000000002</v>
      </c>
      <c r="AG64" s="144">
        <v>0.39550000000000002</v>
      </c>
      <c r="AH64" s="144">
        <v>1.7041999999999999</v>
      </c>
      <c r="AI64" s="145">
        <f t="shared" si="46"/>
        <v>82550339.778999999</v>
      </c>
      <c r="AJ64" s="145">
        <f t="shared" si="47"/>
        <v>8989531.1859999988</v>
      </c>
      <c r="AK64" s="145">
        <f t="shared" si="48"/>
        <v>62397903.273699999</v>
      </c>
      <c r="AL64" s="152">
        <f t="shared" si="49"/>
        <v>285945002.24958289</v>
      </c>
      <c r="AM64" s="145">
        <f t="shared" si="50"/>
        <v>222005553.4562</v>
      </c>
      <c r="AN64" s="145">
        <f t="shared" si="51"/>
        <v>661888329.94448292</v>
      </c>
      <c r="AO64" s="169">
        <v>3210132.87</v>
      </c>
      <c r="AP64" s="159">
        <v>420158.5</v>
      </c>
      <c r="AQ64" s="149">
        <v>11457804.859999999</v>
      </c>
      <c r="AR64" s="149">
        <v>750000</v>
      </c>
      <c r="AS64" s="145">
        <f t="shared" si="32"/>
        <v>15838096.23</v>
      </c>
      <c r="AT64" s="145">
        <f t="shared" si="52"/>
        <v>646050233.7144829</v>
      </c>
      <c r="AU64" s="145">
        <f t="shared" si="53"/>
        <v>638124424.46403337</v>
      </c>
      <c r="AV64" s="145">
        <f t="shared" si="33"/>
        <v>7925809.2504495382</v>
      </c>
      <c r="AW64" s="149">
        <f t="shared" si="54"/>
        <v>0.25081031887767485</v>
      </c>
      <c r="AX64" s="133">
        <v>0.32</v>
      </c>
      <c r="AY64" s="133">
        <v>0.55000000000000004</v>
      </c>
      <c r="AZ64" s="133">
        <v>0.12</v>
      </c>
      <c r="BA64" s="145">
        <f t="shared" si="55"/>
        <v>2536258.9601438525</v>
      </c>
      <c r="BB64" s="145">
        <f t="shared" si="56"/>
        <v>4359195.087747246</v>
      </c>
      <c r="BC64" s="145">
        <f t="shared" si="57"/>
        <v>951097.11005394452</v>
      </c>
      <c r="BD64" s="145">
        <f t="shared" si="58"/>
        <v>2.1013261569743733E-2</v>
      </c>
      <c r="BE64" s="145">
        <f t="shared" si="59"/>
        <v>4.2987753477607207E-2</v>
      </c>
      <c r="BF64" s="145">
        <f t="shared" si="60"/>
        <v>5.1749869263259312E-3</v>
      </c>
      <c r="BG64" s="145">
        <f t="shared" si="61"/>
        <v>1.6546132615697438</v>
      </c>
      <c r="BH64" s="145">
        <f t="shared" si="62"/>
        <v>3.6745877534776072</v>
      </c>
      <c r="BI64" s="145">
        <f t="shared" si="63"/>
        <v>0.40067498692632597</v>
      </c>
      <c r="BJ64" s="154">
        <f t="shared" si="64"/>
        <v>4.3994595243804772E-2</v>
      </c>
      <c r="BK64" s="154">
        <f t="shared" si="65"/>
        <v>3.5289528813032434E-2</v>
      </c>
      <c r="BL64" s="154">
        <f t="shared" si="66"/>
        <v>5.9959061450400648E-2</v>
      </c>
      <c r="BM64" s="145">
        <f t="shared" si="67"/>
        <v>0.27517748615892246</v>
      </c>
    </row>
    <row r="65" spans="1:65" s="146" customFormat="1" ht="18" customHeight="1" x14ac:dyDescent="0.25">
      <c r="A65" s="85">
        <v>2013</v>
      </c>
      <c r="B65" s="86" t="s">
        <v>263</v>
      </c>
      <c r="C65" s="251">
        <v>3347317449</v>
      </c>
      <c r="D65" s="252">
        <f t="shared" si="72"/>
        <v>128895464</v>
      </c>
      <c r="E65" s="253">
        <f t="shared" si="73"/>
        <v>302083353</v>
      </c>
      <c r="F65" s="255">
        <v>10317480</v>
      </c>
      <c r="G65" s="252">
        <v>11405836</v>
      </c>
      <c r="H65" s="254">
        <v>3849477</v>
      </c>
      <c r="I65" s="252">
        <v>50065834</v>
      </c>
      <c r="J65" s="252">
        <v>53256837</v>
      </c>
      <c r="K65" s="256">
        <f t="shared" si="74"/>
        <v>128895464</v>
      </c>
      <c r="L65" s="257">
        <v>421030241</v>
      </c>
      <c r="M65" s="258">
        <v>47011710</v>
      </c>
      <c r="N65" s="252">
        <v>11397006</v>
      </c>
      <c r="O65" s="252">
        <v>3836980</v>
      </c>
      <c r="P65" s="252">
        <v>98444400</v>
      </c>
      <c r="Q65" s="252">
        <v>141393257</v>
      </c>
      <c r="R65" s="253">
        <f t="shared" si="75"/>
        <v>302083353</v>
      </c>
      <c r="S65" s="28">
        <f>Q65*'Order 30 Components'!AG17</f>
        <v>50169321.23270651</v>
      </c>
      <c r="T65" s="254">
        <f t="shared" si="30"/>
        <v>91223935.767293483</v>
      </c>
      <c r="U65" s="28">
        <f>R65*'Order 30 Components'!AG17</f>
        <v>107185569.5049876</v>
      </c>
      <c r="V65" s="259">
        <f t="shared" si="31"/>
        <v>194897783.4950124</v>
      </c>
      <c r="W65" s="260">
        <f t="shared" si="42"/>
        <v>3.8507092907637756E-2</v>
      </c>
      <c r="X65" s="154">
        <f t="shared" si="43"/>
        <v>9.024640106669489E-2</v>
      </c>
      <c r="Y65" s="260">
        <f t="shared" si="44"/>
        <v>3.2021333840627796E-2</v>
      </c>
      <c r="Z65" s="260">
        <f t="shared" si="45"/>
        <v>5.8225067226067094E-2</v>
      </c>
      <c r="AA65" s="261">
        <v>15.31</v>
      </c>
      <c r="AB65" s="261">
        <v>1.5986</v>
      </c>
      <c r="AC65" s="261">
        <v>1.7788999999999999</v>
      </c>
      <c r="AD65" s="261">
        <v>1.7742</v>
      </c>
      <c r="AE65" s="261">
        <v>1.7672000000000001</v>
      </c>
      <c r="AF65" s="261">
        <v>3.5390000000000001</v>
      </c>
      <c r="AG65" s="261">
        <v>0.3826</v>
      </c>
      <c r="AH65" s="261">
        <v>1.768</v>
      </c>
      <c r="AI65" s="263">
        <f t="shared" si="46"/>
        <v>88150746.226099998</v>
      </c>
      <c r="AJ65" s="263">
        <f t="shared" si="47"/>
        <v>9423680.7906999998</v>
      </c>
      <c r="AK65" s="263">
        <f t="shared" si="48"/>
        <v>54165714.019999996</v>
      </c>
      <c r="AL65" s="264">
        <f t="shared" si="49"/>
        <v>306566988.01351482</v>
      </c>
      <c r="AM65" s="263">
        <f t="shared" si="50"/>
        <v>262526041.04479998</v>
      </c>
      <c r="AN65" s="263">
        <f t="shared" si="51"/>
        <v>720833170.09511471</v>
      </c>
      <c r="AO65" s="265">
        <v>3216246.52</v>
      </c>
      <c r="AP65" s="266">
        <v>422922.61</v>
      </c>
      <c r="AQ65" s="267">
        <v>11839705.459999999</v>
      </c>
      <c r="AR65" s="267">
        <v>750000</v>
      </c>
      <c r="AS65" s="263">
        <f t="shared" si="32"/>
        <v>16228874.59</v>
      </c>
      <c r="AT65" s="263">
        <f t="shared" si="52"/>
        <v>704604295.50511467</v>
      </c>
      <c r="AU65" s="263">
        <f t="shared" si="53"/>
        <v>681681686.42414284</v>
      </c>
      <c r="AV65" s="263">
        <f t="shared" si="33"/>
        <v>22922609.080971837</v>
      </c>
      <c r="AW65" s="267">
        <f t="shared" si="54"/>
        <v>0.68480535324846148</v>
      </c>
      <c r="AX65" s="262">
        <v>0.32</v>
      </c>
      <c r="AY65" s="262">
        <v>0.55000000000000004</v>
      </c>
      <c r="AZ65" s="262">
        <v>0.12</v>
      </c>
      <c r="BA65" s="263">
        <f t="shared" si="55"/>
        <v>7335234.9059109883</v>
      </c>
      <c r="BB65" s="263">
        <f t="shared" si="56"/>
        <v>12607434.994534511</v>
      </c>
      <c r="BC65" s="263">
        <f t="shared" si="57"/>
        <v>2750713.0897166203</v>
      </c>
      <c r="BD65" s="263">
        <f t="shared" si="58"/>
        <v>5.6908402191026587E-2</v>
      </c>
      <c r="BE65" s="263">
        <f t="shared" si="59"/>
        <v>0.11762250322276692</v>
      </c>
      <c r="BF65" s="263">
        <f t="shared" si="60"/>
        <v>1.4113619151482107E-2</v>
      </c>
      <c r="BG65" s="263">
        <f t="shared" si="61"/>
        <v>1.8241084021910268</v>
      </c>
      <c r="BH65" s="263">
        <f t="shared" si="62"/>
        <v>3.6566225032227671</v>
      </c>
      <c r="BI65" s="263">
        <f t="shared" si="63"/>
        <v>0.39671361915148212</v>
      </c>
      <c r="BJ65" s="260">
        <f t="shared" si="64"/>
        <v>4.4307092907637756E-2</v>
      </c>
      <c r="BK65" s="260">
        <f t="shared" si="65"/>
        <v>3.5221333840627797E-2</v>
      </c>
      <c r="BL65" s="260">
        <f t="shared" si="66"/>
        <v>6.0025067226067097E-2</v>
      </c>
      <c r="BM65" s="263">
        <f t="shared" si="67"/>
        <v>0.75114382546532454</v>
      </c>
    </row>
    <row r="66" spans="1:65" ht="18" customHeight="1" x14ac:dyDescent="0.25">
      <c r="A66" s="11">
        <v>2014</v>
      </c>
      <c r="B66" s="12" t="s">
        <v>255</v>
      </c>
      <c r="C66" s="25">
        <v>3535682079</v>
      </c>
      <c r="D66" s="26">
        <f t="shared" ref="D66:D77" si="76">+K66</f>
        <v>134356902</v>
      </c>
      <c r="E66" s="27">
        <f t="shared" ref="E66:E77" si="77">+R66</f>
        <v>317199487</v>
      </c>
      <c r="F66" s="29">
        <v>9902718</v>
      </c>
      <c r="G66" s="26">
        <v>9385872</v>
      </c>
      <c r="H66" s="28">
        <v>6725644</v>
      </c>
      <c r="I66" s="26">
        <v>52484810</v>
      </c>
      <c r="J66" s="26">
        <v>55857858</v>
      </c>
      <c r="K66" s="30">
        <f t="shared" ref="K66:K77" si="78">SUM(F66:J66)</f>
        <v>134356902</v>
      </c>
      <c r="L66" s="31">
        <v>416024965</v>
      </c>
      <c r="M66" s="32">
        <v>46327618</v>
      </c>
      <c r="N66" s="26">
        <v>11375326</v>
      </c>
      <c r="O66" s="26">
        <v>6913815</v>
      </c>
      <c r="P66" s="26">
        <v>104917070</v>
      </c>
      <c r="Q66" s="26">
        <v>147665658</v>
      </c>
      <c r="R66" s="27">
        <f t="shared" ref="R66:R77" si="79">SUM(M66:Q66)</f>
        <v>317199487</v>
      </c>
      <c r="S66" s="28">
        <f>Q66*'Order 30 Components'!AG6</f>
        <v>52044559.4086584</v>
      </c>
      <c r="T66" s="28">
        <f t="shared" ref="T66:T77" si="80">Q66-S66</f>
        <v>95621098.5913416</v>
      </c>
      <c r="U66" s="28">
        <f>R66*'Order 30 Components'!AG6</f>
        <v>111796525.80810271</v>
      </c>
      <c r="V66" s="143">
        <f t="shared" ref="V66:V77" si="81">R66-U66</f>
        <v>205402961.19189727</v>
      </c>
      <c r="W66" s="154">
        <f t="shared" si="42"/>
        <v>3.8000278022168862E-2</v>
      </c>
      <c r="X66" s="154">
        <f t="shared" si="43"/>
        <v>8.9713803422538999E-2</v>
      </c>
      <c r="Y66" s="154">
        <f t="shared" si="44"/>
        <v>3.1619507441608616E-2</v>
      </c>
      <c r="Z66" s="154">
        <f t="shared" si="45"/>
        <v>5.8094295980930383E-2</v>
      </c>
      <c r="AA66" s="144">
        <v>15.81</v>
      </c>
      <c r="AB66" s="144">
        <v>1.7790999999999999</v>
      </c>
      <c r="AC66" s="144">
        <v>1.8344</v>
      </c>
      <c r="AD66" s="144">
        <v>1.7944</v>
      </c>
      <c r="AE66" s="144">
        <v>1.7874000000000001</v>
      </c>
      <c r="AF66" s="144">
        <v>4.1870000000000003</v>
      </c>
      <c r="AG66" s="144">
        <v>0.41549999999999998</v>
      </c>
      <c r="AH66" s="144">
        <v>1.847</v>
      </c>
      <c r="AI66" s="145">
        <f t="shared" si="46"/>
        <v>90715868.966100007</v>
      </c>
      <c r="AJ66" s="145">
        <f t="shared" si="47"/>
        <v>9303429.4297000002</v>
      </c>
      <c r="AK66" s="145">
        <f t="shared" si="48"/>
        <v>62460104.560800001</v>
      </c>
      <c r="AL66" s="152">
        <f t="shared" si="49"/>
        <v>357481472.09795517</v>
      </c>
      <c r="AM66" s="145">
        <f t="shared" si="50"/>
        <v>287593177.68400002</v>
      </c>
      <c r="AN66" s="145">
        <f t="shared" ref="AN66:AN77" si="82">SUM(AI66:AM66)</f>
        <v>807554052.73855519</v>
      </c>
      <c r="AO66" s="169">
        <v>3266384.9800000004</v>
      </c>
      <c r="AP66" s="159">
        <v>449332.41</v>
      </c>
      <c r="AQ66" s="149">
        <v>11839430.629999999</v>
      </c>
      <c r="AR66" s="149">
        <v>750000</v>
      </c>
      <c r="AS66" s="145">
        <f t="shared" ref="AS66:AS77" si="83">SUM(AO66:AR66)</f>
        <v>16305148.02</v>
      </c>
      <c r="AT66" s="145">
        <f t="shared" si="52"/>
        <v>791248904.71855521</v>
      </c>
      <c r="AU66" s="145">
        <f t="shared" si="53"/>
        <v>793586510.56855941</v>
      </c>
      <c r="AV66" s="145">
        <f t="shared" ref="AV66:AV77" si="84">AT66-AU66</f>
        <v>-2337605.8500041962</v>
      </c>
      <c r="AW66" s="149">
        <f t="shared" si="54"/>
        <v>-6.6114707085466892E-2</v>
      </c>
      <c r="AX66" s="133">
        <v>0.34</v>
      </c>
      <c r="AY66" s="133">
        <v>0.54</v>
      </c>
      <c r="AZ66" s="133">
        <v>0.12</v>
      </c>
      <c r="BA66" s="145">
        <f t="shared" si="55"/>
        <v>-794785.98900142673</v>
      </c>
      <c r="BB66" s="145">
        <f t="shared" si="56"/>
        <v>-1262307.1590022661</v>
      </c>
      <c r="BC66" s="145">
        <f t="shared" si="57"/>
        <v>-280512.70200050354</v>
      </c>
      <c r="BD66" s="145">
        <f t="shared" si="58"/>
        <v>-5.9154831435561583E-3</v>
      </c>
      <c r="BE66" s="145">
        <f t="shared" si="59"/>
        <v>-1.1291112580448162E-2</v>
      </c>
      <c r="BF66" s="145">
        <f t="shared" si="60"/>
        <v>-1.3656701946883577E-3</v>
      </c>
      <c r="BG66" s="145">
        <f t="shared" si="61"/>
        <v>1.7814845168564439</v>
      </c>
      <c r="BH66" s="145">
        <f t="shared" si="62"/>
        <v>4.1757088874195523</v>
      </c>
      <c r="BI66" s="145">
        <f t="shared" si="63"/>
        <v>0.41413432980531162</v>
      </c>
      <c r="BJ66" s="154">
        <f t="shared" si="64"/>
        <v>4.3800278022168862E-2</v>
      </c>
      <c r="BK66" s="154">
        <f t="shared" si="65"/>
        <v>3.4819507441608617E-2</v>
      </c>
      <c r="BL66" s="154">
        <f t="shared" si="66"/>
        <v>5.9894295980930386E-2</v>
      </c>
      <c r="BM66" s="145">
        <f t="shared" si="67"/>
        <v>-7.3404663969516795E-2</v>
      </c>
    </row>
    <row r="67" spans="1:65" ht="18" customHeight="1" x14ac:dyDescent="0.25">
      <c r="A67" s="11">
        <v>2014</v>
      </c>
      <c r="B67" s="12" t="s">
        <v>256</v>
      </c>
      <c r="C67" s="25">
        <v>3305002929</v>
      </c>
      <c r="D67" s="26">
        <f t="shared" si="76"/>
        <v>123367279</v>
      </c>
      <c r="E67" s="27">
        <f t="shared" si="77"/>
        <v>295312760</v>
      </c>
      <c r="F67" s="29">
        <v>8986053</v>
      </c>
      <c r="G67" s="26">
        <v>9042609</v>
      </c>
      <c r="H67" s="28">
        <v>6527366</v>
      </c>
      <c r="I67" s="26">
        <v>50591408</v>
      </c>
      <c r="J67" s="26">
        <v>48219843</v>
      </c>
      <c r="K67" s="30">
        <f t="shared" si="78"/>
        <v>123367279</v>
      </c>
      <c r="L67" s="31">
        <v>378969579</v>
      </c>
      <c r="M67" s="32">
        <v>42257475</v>
      </c>
      <c r="N67" s="26">
        <v>11176841</v>
      </c>
      <c r="O67" s="26">
        <v>7014371</v>
      </c>
      <c r="P67" s="26">
        <v>98518901</v>
      </c>
      <c r="Q67" s="26">
        <v>136345172</v>
      </c>
      <c r="R67" s="27">
        <f t="shared" si="79"/>
        <v>295312760</v>
      </c>
      <c r="S67" s="28">
        <f>Q67*'Order 30 Components'!AG7</f>
        <v>47878531.912510522</v>
      </c>
      <c r="T67" s="28">
        <f t="shared" si="80"/>
        <v>88466640.087489486</v>
      </c>
      <c r="U67" s="28">
        <f>R67*'Order 30 Components'!AG7</f>
        <v>103701078.64055179</v>
      </c>
      <c r="V67" s="143">
        <f t="shared" si="81"/>
        <v>191611681.35944819</v>
      </c>
      <c r="W67" s="154">
        <f t="shared" si="42"/>
        <v>3.7327434090149943E-2</v>
      </c>
      <c r="X67" s="154">
        <f t="shared" si="43"/>
        <v>8.9353252128388655E-2</v>
      </c>
      <c r="Y67" s="154">
        <f t="shared" si="44"/>
        <v>3.1377000525663314E-2</v>
      </c>
      <c r="Z67" s="154">
        <f t="shared" si="45"/>
        <v>5.7976251602725341E-2</v>
      </c>
      <c r="AA67" s="144">
        <v>16.57</v>
      </c>
      <c r="AB67" s="144">
        <v>1.7224999999999999</v>
      </c>
      <c r="AC67" s="144">
        <v>1.9189000000000001</v>
      </c>
      <c r="AD67" s="144">
        <v>2.0179</v>
      </c>
      <c r="AE67" s="144">
        <v>2.0108999999999999</v>
      </c>
      <c r="AF67" s="144">
        <v>4.6044</v>
      </c>
      <c r="AG67" s="144">
        <v>0.44529999999999997</v>
      </c>
      <c r="AH67" s="144">
        <v>1.8914</v>
      </c>
      <c r="AI67" s="145">
        <f t="shared" si="46"/>
        <v>85275799.140300006</v>
      </c>
      <c r="AJ67" s="145">
        <f t="shared" si="47"/>
        <v>8475198.2079000007</v>
      </c>
      <c r="AK67" s="145">
        <f t="shared" si="48"/>
        <v>66325769.259300001</v>
      </c>
      <c r="AL67" s="152">
        <f t="shared" si="49"/>
        <v>356811389.45762253</v>
      </c>
      <c r="AM67" s="145">
        <f t="shared" si="50"/>
        <v>288072911.69859999</v>
      </c>
      <c r="AN67" s="145">
        <f t="shared" si="82"/>
        <v>804961067.76372254</v>
      </c>
      <c r="AO67" s="169">
        <v>3111783.67</v>
      </c>
      <c r="AP67" s="159">
        <v>414738.49</v>
      </c>
      <c r="AQ67" s="149">
        <v>10693974.569999998</v>
      </c>
      <c r="AR67" s="149">
        <v>750000</v>
      </c>
      <c r="AS67" s="145">
        <f t="shared" si="83"/>
        <v>14970496.729999999</v>
      </c>
      <c r="AT67" s="145">
        <f t="shared" si="52"/>
        <v>789990571.03372252</v>
      </c>
      <c r="AU67" s="145">
        <f t="shared" si="53"/>
        <v>810885189.54301894</v>
      </c>
      <c r="AV67" s="145">
        <f t="shared" si="84"/>
        <v>-20894618.509296417</v>
      </c>
      <c r="AW67" s="149">
        <f t="shared" si="54"/>
        <v>-0.63221180005485</v>
      </c>
      <c r="AX67" s="133">
        <v>0.34</v>
      </c>
      <c r="AY67" s="133">
        <v>0.54</v>
      </c>
      <c r="AZ67" s="133">
        <v>0.12</v>
      </c>
      <c r="BA67" s="145">
        <f t="shared" si="55"/>
        <v>-7104170.2931607822</v>
      </c>
      <c r="BB67" s="145">
        <f t="shared" si="56"/>
        <v>-11283093.995020065</v>
      </c>
      <c r="BC67" s="145">
        <f t="shared" si="57"/>
        <v>-2507354.22111557</v>
      </c>
      <c r="BD67" s="145">
        <f t="shared" si="58"/>
        <v>-5.7585531193897713E-2</v>
      </c>
      <c r="BE67" s="145">
        <f t="shared" si="59"/>
        <v>-0.10880401769136341</v>
      </c>
      <c r="BF67" s="145">
        <f t="shared" si="60"/>
        <v>-1.3085602105917405E-2</v>
      </c>
      <c r="BG67" s="145">
        <f t="shared" si="61"/>
        <v>1.9533144688061022</v>
      </c>
      <c r="BH67" s="145">
        <f t="shared" si="62"/>
        <v>4.4955959823086369</v>
      </c>
      <c r="BI67" s="145">
        <f t="shared" si="63"/>
        <v>0.43221439789408256</v>
      </c>
      <c r="BJ67" s="154">
        <f t="shared" si="64"/>
        <v>4.3127434090149942E-2</v>
      </c>
      <c r="BK67" s="154">
        <f t="shared" si="65"/>
        <v>3.4577000525663315E-2</v>
      </c>
      <c r="BL67" s="154">
        <f t="shared" si="66"/>
        <v>5.9776251602725344E-2</v>
      </c>
      <c r="BM67" s="145">
        <f t="shared" si="67"/>
        <v>-0.70278410218761223</v>
      </c>
    </row>
    <row r="68" spans="1:65" ht="18" customHeight="1" x14ac:dyDescent="0.25">
      <c r="A68" s="11">
        <v>2014</v>
      </c>
      <c r="B68" s="12" t="s">
        <v>257</v>
      </c>
      <c r="C68" s="25">
        <v>3706096117</v>
      </c>
      <c r="D68" s="26">
        <f t="shared" si="76"/>
        <v>137064040</v>
      </c>
      <c r="E68" s="27">
        <f t="shared" si="77"/>
        <v>330718554</v>
      </c>
      <c r="F68" s="29">
        <v>9860425</v>
      </c>
      <c r="G68" s="26">
        <v>10782136</v>
      </c>
      <c r="H68" s="28">
        <v>8438556</v>
      </c>
      <c r="I68" s="26">
        <v>52657050</v>
      </c>
      <c r="J68" s="26">
        <v>55325873</v>
      </c>
      <c r="K68" s="30">
        <f t="shared" si="78"/>
        <v>137064040</v>
      </c>
      <c r="L68" s="31">
        <v>407084308</v>
      </c>
      <c r="M68" s="32">
        <v>45253028</v>
      </c>
      <c r="N68" s="26">
        <v>13190212</v>
      </c>
      <c r="O68" s="26">
        <v>7909111</v>
      </c>
      <c r="P68" s="26">
        <v>112566012</v>
      </c>
      <c r="Q68" s="26">
        <v>151800191</v>
      </c>
      <c r="R68" s="27">
        <f t="shared" si="79"/>
        <v>330718554</v>
      </c>
      <c r="S68" s="28">
        <f>Q68*'Order 30 Components'!AG8</f>
        <v>53072271.95870927</v>
      </c>
      <c r="T68" s="28">
        <f t="shared" si="80"/>
        <v>98727919.04129073</v>
      </c>
      <c r="U68" s="28">
        <f>R68*'Order 30 Components'!AG8</f>
        <v>115625579.41497634</v>
      </c>
      <c r="V68" s="143">
        <f t="shared" si="81"/>
        <v>215092974.58502364</v>
      </c>
      <c r="W68" s="154">
        <f t="shared" si="42"/>
        <v>3.6983401313118183E-2</v>
      </c>
      <c r="X68" s="154">
        <f t="shared" si="43"/>
        <v>8.9236367206717002E-2</v>
      </c>
      <c r="Y68" s="154">
        <f t="shared" si="44"/>
        <v>3.1198753557577077E-2</v>
      </c>
      <c r="Z68" s="154">
        <f t="shared" si="45"/>
        <v>5.8037613649139917E-2</v>
      </c>
      <c r="AA68" s="144">
        <v>17.14</v>
      </c>
      <c r="AB68" s="144">
        <v>2.0297999999999998</v>
      </c>
      <c r="AC68" s="144">
        <v>1.9633</v>
      </c>
      <c r="AD68" s="144">
        <v>2.0472000000000001</v>
      </c>
      <c r="AE68" s="144">
        <v>2.0402</v>
      </c>
      <c r="AF68" s="144">
        <v>4.5171999999999999</v>
      </c>
      <c r="AG68" s="144">
        <v>0.47</v>
      </c>
      <c r="AH68" s="144">
        <v>1.9027000000000001</v>
      </c>
      <c r="AI68" s="145">
        <f t="shared" si="46"/>
        <v>97545310.055399984</v>
      </c>
      <c r="AJ68" s="145">
        <f t="shared" si="47"/>
        <v>9105295.8917000014</v>
      </c>
      <c r="AK68" s="145">
        <f t="shared" si="48"/>
        <v>80772901.508300006</v>
      </c>
      <c r="AL68" s="152">
        <f t="shared" si="49"/>
        <v>399016034.93588817</v>
      </c>
      <c r="AM68" s="145">
        <f t="shared" si="50"/>
        <v>321610264.44239998</v>
      </c>
      <c r="AN68" s="145">
        <f t="shared" si="82"/>
        <v>908049806.83368814</v>
      </c>
      <c r="AO68" s="169">
        <v>3382340.58</v>
      </c>
      <c r="AP68" s="159">
        <v>457842.43</v>
      </c>
      <c r="AQ68" s="149">
        <v>11846685.24</v>
      </c>
      <c r="AR68" s="149">
        <v>750000</v>
      </c>
      <c r="AS68" s="145">
        <f t="shared" si="83"/>
        <v>16436868.25</v>
      </c>
      <c r="AT68" s="145">
        <f t="shared" si="52"/>
        <v>891612938.58368814</v>
      </c>
      <c r="AU68" s="145">
        <f t="shared" si="53"/>
        <v>903035619.79629219</v>
      </c>
      <c r="AV68" s="145">
        <f t="shared" si="84"/>
        <v>-11422681.212604046</v>
      </c>
      <c r="AW68" s="149">
        <f t="shared" si="54"/>
        <v>-0.30821330186790852</v>
      </c>
      <c r="AX68" s="133">
        <v>0.34</v>
      </c>
      <c r="AY68" s="133">
        <v>0.54</v>
      </c>
      <c r="AZ68" s="133">
        <v>0.12</v>
      </c>
      <c r="BA68" s="145">
        <f t="shared" si="55"/>
        <v>-3883711.6122853761</v>
      </c>
      <c r="BB68" s="145">
        <f t="shared" si="56"/>
        <v>-6168247.8548061848</v>
      </c>
      <c r="BC68" s="145">
        <f t="shared" si="57"/>
        <v>-1370721.7455124855</v>
      </c>
      <c r="BD68" s="145">
        <f t="shared" si="58"/>
        <v>-2.8335014875421564E-2</v>
      </c>
      <c r="BE68" s="145">
        <f t="shared" si="59"/>
        <v>-5.334674114512801E-2</v>
      </c>
      <c r="BF68" s="145">
        <f t="shared" si="60"/>
        <v>-6.3726941717041335E-3</v>
      </c>
      <c r="BG68" s="145">
        <f t="shared" si="61"/>
        <v>2.0118649851245785</v>
      </c>
      <c r="BH68" s="145">
        <f t="shared" si="62"/>
        <v>4.4638532588548721</v>
      </c>
      <c r="BI68" s="145">
        <f t="shared" si="63"/>
        <v>0.46362730582829587</v>
      </c>
      <c r="BJ68" s="154">
        <f t="shared" si="64"/>
        <v>4.2783401313118183E-2</v>
      </c>
      <c r="BK68" s="154">
        <f t="shared" si="65"/>
        <v>3.4398753557577079E-2</v>
      </c>
      <c r="BL68" s="154">
        <f t="shared" si="66"/>
        <v>5.983761364913992E-2</v>
      </c>
      <c r="BM68" s="145">
        <f t="shared" si="67"/>
        <v>-0.34286565261300078</v>
      </c>
    </row>
    <row r="69" spans="1:65" ht="18" customHeight="1" x14ac:dyDescent="0.25">
      <c r="A69" s="11">
        <v>2014</v>
      </c>
      <c r="B69" s="12" t="s">
        <v>258</v>
      </c>
      <c r="C69" s="25">
        <v>3577429783</v>
      </c>
      <c r="D69" s="26">
        <f t="shared" si="76"/>
        <v>130829410</v>
      </c>
      <c r="E69" s="27">
        <f t="shared" si="77"/>
        <v>318726810</v>
      </c>
      <c r="F69" s="29">
        <v>9902220</v>
      </c>
      <c r="G69" s="26">
        <v>10123882</v>
      </c>
      <c r="H69" s="28">
        <v>7849366</v>
      </c>
      <c r="I69" s="26">
        <v>49574239</v>
      </c>
      <c r="J69" s="26">
        <v>53379703</v>
      </c>
      <c r="K69" s="30">
        <f t="shared" si="78"/>
        <v>130829410</v>
      </c>
      <c r="L69" s="31">
        <v>401898606</v>
      </c>
      <c r="M69" s="32">
        <v>44611676</v>
      </c>
      <c r="N69" s="26">
        <v>11782884</v>
      </c>
      <c r="O69" s="26">
        <v>7832349</v>
      </c>
      <c r="P69" s="26">
        <v>107996503</v>
      </c>
      <c r="Q69" s="26">
        <v>146503398</v>
      </c>
      <c r="R69" s="27">
        <f t="shared" si="79"/>
        <v>318726810</v>
      </c>
      <c r="S69" s="28">
        <f>Q69*'Order 30 Components'!AG9</f>
        <v>50912705.153950751</v>
      </c>
      <c r="T69" s="28">
        <f t="shared" si="80"/>
        <v>95590692.846049249</v>
      </c>
      <c r="U69" s="28">
        <f>R69*'Order 30 Components'!AG9</f>
        <v>110763602.23528251</v>
      </c>
      <c r="V69" s="143">
        <f t="shared" si="81"/>
        <v>207963207.76471749</v>
      </c>
      <c r="W69" s="154">
        <f t="shared" si="42"/>
        <v>3.6570783477485234E-2</v>
      </c>
      <c r="X69" s="154">
        <f t="shared" si="43"/>
        <v>8.9093798993510526E-2</v>
      </c>
      <c r="Y69" s="154">
        <f t="shared" si="44"/>
        <v>3.0961782328092869E-2</v>
      </c>
      <c r="Z69" s="154">
        <f t="shared" si="45"/>
        <v>5.813201666541766E-2</v>
      </c>
      <c r="AA69" s="144">
        <v>17.22</v>
      </c>
      <c r="AB69" s="144">
        <v>2.0093999999999999</v>
      </c>
      <c r="AC69" s="144">
        <v>1.9911000000000001</v>
      </c>
      <c r="AD69" s="144">
        <v>2.1276999999999999</v>
      </c>
      <c r="AE69" s="144">
        <v>2.1206999999999998</v>
      </c>
      <c r="AF69" s="144">
        <v>4.7088999999999999</v>
      </c>
      <c r="AG69" s="144">
        <v>0.49259999999999998</v>
      </c>
      <c r="AH69" s="144">
        <v>1.8328</v>
      </c>
      <c r="AI69" s="145">
        <f t="shared" si="46"/>
        <v>96786591.428399995</v>
      </c>
      <c r="AJ69" s="145">
        <f t="shared" si="47"/>
        <v>8991326.2893999983</v>
      </c>
      <c r="AK69" s="145">
        <f t="shared" si="48"/>
        <v>77297570.195899993</v>
      </c>
      <c r="AL69" s="152">
        <f t="shared" si="49"/>
        <v>400033148.74750257</v>
      </c>
      <c r="AM69" s="145">
        <f t="shared" si="50"/>
        <v>303068079.34569997</v>
      </c>
      <c r="AN69" s="145">
        <f t="shared" si="82"/>
        <v>886176716.00690246</v>
      </c>
      <c r="AO69" s="169">
        <v>3279763.69</v>
      </c>
      <c r="AP69" s="159">
        <v>444691.58</v>
      </c>
      <c r="AQ69" s="149">
        <v>11460326.280000001</v>
      </c>
      <c r="AR69" s="149">
        <v>750000</v>
      </c>
      <c r="AS69" s="145">
        <f t="shared" si="83"/>
        <v>15934781.550000001</v>
      </c>
      <c r="AT69" s="145">
        <f t="shared" si="52"/>
        <v>870241934.4569025</v>
      </c>
      <c r="AU69" s="145">
        <f t="shared" si="53"/>
        <v>901467332.49762166</v>
      </c>
      <c r="AV69" s="145">
        <f t="shared" si="84"/>
        <v>-31225398.040719151</v>
      </c>
      <c r="AW69" s="149">
        <f t="shared" si="54"/>
        <v>-0.87284447032623014</v>
      </c>
      <c r="AX69" s="133">
        <v>0.34</v>
      </c>
      <c r="AY69" s="133">
        <v>0.54</v>
      </c>
      <c r="AZ69" s="133">
        <v>0.12</v>
      </c>
      <c r="BA69" s="145">
        <f t="shared" si="55"/>
        <v>-10616635.333844513</v>
      </c>
      <c r="BB69" s="145">
        <f t="shared" si="56"/>
        <v>-16861714.941988342</v>
      </c>
      <c r="BC69" s="145">
        <f t="shared" si="57"/>
        <v>-3747047.7648862982</v>
      </c>
      <c r="BD69" s="145">
        <f t="shared" si="58"/>
        <v>-8.1148690755729252E-2</v>
      </c>
      <c r="BE69" s="145">
        <f t="shared" si="59"/>
        <v>-0.15223155081369527</v>
      </c>
      <c r="BF69" s="145">
        <f t="shared" si="60"/>
        <v>-1.8017839814846389E-2</v>
      </c>
      <c r="BG69" s="145">
        <f t="shared" si="61"/>
        <v>2.0395513092442705</v>
      </c>
      <c r="BH69" s="145">
        <f t="shared" si="62"/>
        <v>4.5566684491863043</v>
      </c>
      <c r="BI69" s="145">
        <f t="shared" si="63"/>
        <v>0.47458216018515359</v>
      </c>
      <c r="BJ69" s="154">
        <f t="shared" si="64"/>
        <v>4.2370783477485234E-2</v>
      </c>
      <c r="BK69" s="154">
        <f t="shared" si="65"/>
        <v>3.4161782328092867E-2</v>
      </c>
      <c r="BL69" s="154">
        <f t="shared" si="66"/>
        <v>5.9932016665417663E-2</v>
      </c>
      <c r="BM69" s="145">
        <f t="shared" si="67"/>
        <v>-0.97186801839160775</v>
      </c>
    </row>
    <row r="70" spans="1:65" ht="18" customHeight="1" x14ac:dyDescent="0.25">
      <c r="A70" s="11">
        <v>2014</v>
      </c>
      <c r="B70" s="12" t="s">
        <v>6</v>
      </c>
      <c r="C70" s="25">
        <v>3633943274</v>
      </c>
      <c r="D70" s="26">
        <f t="shared" si="76"/>
        <v>131555993</v>
      </c>
      <c r="E70" s="27">
        <f t="shared" si="77"/>
        <v>323112437</v>
      </c>
      <c r="F70" s="29">
        <v>9968323</v>
      </c>
      <c r="G70" s="26">
        <v>10183120</v>
      </c>
      <c r="H70" s="28">
        <v>8495541</v>
      </c>
      <c r="I70" s="26">
        <v>48595881</v>
      </c>
      <c r="J70" s="26">
        <v>54313128</v>
      </c>
      <c r="K70" s="30">
        <f t="shared" si="78"/>
        <v>131555993</v>
      </c>
      <c r="L70" s="31">
        <v>404628267</v>
      </c>
      <c r="M70" s="32">
        <v>44968771</v>
      </c>
      <c r="N70" s="26">
        <v>11229167</v>
      </c>
      <c r="O70" s="26">
        <v>7492448</v>
      </c>
      <c r="P70" s="26">
        <v>111416956</v>
      </c>
      <c r="Q70" s="26">
        <v>148005095</v>
      </c>
      <c r="R70" s="27">
        <f t="shared" si="79"/>
        <v>323112437</v>
      </c>
      <c r="S70" s="28">
        <f>Q70*'Order 30 Components'!AG10</f>
        <v>51112385.492825441</v>
      </c>
      <c r="T70" s="28">
        <f t="shared" si="80"/>
        <v>96892709.507174551</v>
      </c>
      <c r="U70" s="28">
        <f>R70*'Order 30 Components'!AG10</f>
        <v>111584316.99577825</v>
      </c>
      <c r="V70" s="143">
        <f t="shared" si="81"/>
        <v>211528120.00422174</v>
      </c>
      <c r="W70" s="154">
        <f t="shared" ref="W70:W77" si="85">D70/C70</f>
        <v>3.6201994109608657E-2</v>
      </c>
      <c r="X70" s="154">
        <f t="shared" ref="X70:X77" si="86">R70/C70</f>
        <v>8.8915102035794738E-2</v>
      </c>
      <c r="Y70" s="154">
        <f t="shared" ref="Y70:Y77" si="87">U70/C70</f>
        <v>3.070612515999837E-2</v>
      </c>
      <c r="Z70" s="154">
        <f t="shared" ref="Z70:Z77" si="88">V70/C70</f>
        <v>5.8208976875796369E-2</v>
      </c>
      <c r="AA70" s="144">
        <v>17.45</v>
      </c>
      <c r="AB70" s="144">
        <v>2.1789999999999998</v>
      </c>
      <c r="AC70" s="144">
        <v>1.8956</v>
      </c>
      <c r="AD70" s="144">
        <v>2.2791000000000001</v>
      </c>
      <c r="AE70" s="144">
        <v>2.2721</v>
      </c>
      <c r="AF70" s="144">
        <v>3.9552999999999998</v>
      </c>
      <c r="AG70" s="144">
        <v>0.48970000000000002</v>
      </c>
      <c r="AH70" s="144">
        <v>1.6919</v>
      </c>
      <c r="AI70" s="145">
        <f t="shared" ref="AI70:AI77" si="89">((L70+M70)*(AA70/100))+(F70*AB70)</f>
        <v>100175658.948</v>
      </c>
      <c r="AJ70" s="145">
        <f t="shared" ref="AJ70:AJ77" si="90">((F70+L70+M70)/100)*1.97</f>
        <v>9053437.6117000002</v>
      </c>
      <c r="AK70" s="145">
        <f t="shared" ref="AK70:AK77" si="91">(G70+H70)*AD70+(N70+O70)*AC70</f>
        <v>78059229.679100007</v>
      </c>
      <c r="AL70" s="152">
        <f t="shared" ref="AL70:AL77" si="92">S70*AF70+T70*AG70+J70*AE70</f>
        <v>373018036.31423581</v>
      </c>
      <c r="AM70" s="145">
        <f t="shared" ref="AM70:AM77" si="93">I70*AE70+P70*AH70</f>
        <v>298921049.0765</v>
      </c>
      <c r="AN70" s="145">
        <f t="shared" si="82"/>
        <v>859227411.62953568</v>
      </c>
      <c r="AO70" s="169">
        <v>3242376.73</v>
      </c>
      <c r="AP70" s="159">
        <v>466783.38</v>
      </c>
      <c r="AQ70" s="149">
        <v>11848631.559999999</v>
      </c>
      <c r="AR70" s="149">
        <v>750000</v>
      </c>
      <c r="AS70" s="145">
        <f t="shared" si="83"/>
        <v>16307791.669999998</v>
      </c>
      <c r="AT70" s="145">
        <f t="shared" ref="AT70:AT77" si="94">AN70-AS70</f>
        <v>842919619.95953572</v>
      </c>
      <c r="AU70" s="145">
        <f t="shared" ref="AU70:AU77" si="95">(K70*AE70)+(U70*AF70)+(V70*AG70)</f>
        <v>843843141.07476902</v>
      </c>
      <c r="AV70" s="145">
        <f t="shared" si="84"/>
        <v>-923521.11523330212</v>
      </c>
      <c r="AW70" s="149">
        <f t="shared" ref="AW70:AW77" si="96">AV70/(C70/100)</f>
        <v>-2.5413746049391471E-2</v>
      </c>
      <c r="AX70" s="133">
        <v>0.34</v>
      </c>
      <c r="AY70" s="133">
        <v>0.54</v>
      </c>
      <c r="AZ70" s="133">
        <v>0.12</v>
      </c>
      <c r="BA70" s="145">
        <f t="shared" ref="BA70:BA77" si="97">AV70*AX70</f>
        <v>-313997.17917932273</v>
      </c>
      <c r="BB70" s="145">
        <f t="shared" ref="BB70:BB77" si="98">AV70*AY70</f>
        <v>-498701.40222598315</v>
      </c>
      <c r="BC70" s="145">
        <f t="shared" ref="BC70:BC77" si="99">AV70*AZ70</f>
        <v>-110822.53382799625</v>
      </c>
      <c r="BD70" s="145">
        <f t="shared" ref="BD70:BD77" si="100">BA70/K70</f>
        <v>-2.3867949457788877E-3</v>
      </c>
      <c r="BE70" s="145">
        <f t="shared" ref="BE70:BE77" si="101">BB70/U70</f>
        <v>-4.4692786195469686E-3</v>
      </c>
      <c r="BF70" s="145">
        <f t="shared" ref="BF70:BF77" si="102">BC70/V70</f>
        <v>-5.2391395444626658E-4</v>
      </c>
      <c r="BG70" s="145">
        <f t="shared" ref="BG70:BG77" si="103">AE70+BD70</f>
        <v>2.269713205054221</v>
      </c>
      <c r="BH70" s="145">
        <f t="shared" ref="BH70:BH77" si="104">AF70+BE70</f>
        <v>3.950830721380453</v>
      </c>
      <c r="BI70" s="145">
        <f t="shared" ref="BI70:BI77" si="105">AG70+BF70</f>
        <v>0.48917608604555374</v>
      </c>
      <c r="BJ70" s="154">
        <f t="shared" ref="BJ70:BJ77" si="106">W70+(2*0.0029)</f>
        <v>4.2001994109608656E-2</v>
      </c>
      <c r="BK70" s="154">
        <f t="shared" ref="BK70:BK77" si="107">Y70+(2*0.0016)</f>
        <v>3.3906125159998371E-2</v>
      </c>
      <c r="BL70" s="154">
        <f t="shared" ref="BL70:BL77" si="108">Z70+(2*0.0009)</f>
        <v>6.0008976875796372E-2</v>
      </c>
      <c r="BM70" s="145">
        <f t="shared" ref="BM70:BM77" si="109">(BJ70*BD70+BK70*BE70+BL70*BF70)*100</f>
        <v>-2.8322560787998583E-2</v>
      </c>
    </row>
    <row r="71" spans="1:65" ht="18" customHeight="1" x14ac:dyDescent="0.25">
      <c r="A71" s="11">
        <v>2014</v>
      </c>
      <c r="B71" s="12" t="s">
        <v>7</v>
      </c>
      <c r="C71" s="25">
        <v>3435240467</v>
      </c>
      <c r="D71" s="26">
        <f t="shared" si="76"/>
        <v>123199865</v>
      </c>
      <c r="E71" s="27">
        <f t="shared" si="77"/>
        <v>305001841</v>
      </c>
      <c r="F71" s="29">
        <v>9858986</v>
      </c>
      <c r="G71" s="26">
        <v>10475205</v>
      </c>
      <c r="H71" s="28">
        <v>9260771</v>
      </c>
      <c r="I71" s="26">
        <v>41972334</v>
      </c>
      <c r="J71" s="26">
        <v>51632569</v>
      </c>
      <c r="K71" s="30">
        <f t="shared" si="78"/>
        <v>123199865</v>
      </c>
      <c r="L71" s="31">
        <v>384392694</v>
      </c>
      <c r="M71" s="32">
        <v>42442827</v>
      </c>
      <c r="N71" s="26">
        <v>12276538</v>
      </c>
      <c r="O71" s="26">
        <v>8462896</v>
      </c>
      <c r="P71" s="26">
        <v>100238262</v>
      </c>
      <c r="Q71" s="26">
        <v>141581318</v>
      </c>
      <c r="R71" s="27">
        <f t="shared" si="79"/>
        <v>305001841</v>
      </c>
      <c r="S71" s="28">
        <f>Q71*'Order 30 Components'!AG11</f>
        <v>48396785.629751362</v>
      </c>
      <c r="T71" s="28">
        <f t="shared" si="80"/>
        <v>93184532.370248646</v>
      </c>
      <c r="U71" s="28">
        <f>R71*'Order 30 Components'!AG11</f>
        <v>104258873.4451286</v>
      </c>
      <c r="V71" s="143">
        <f t="shared" si="81"/>
        <v>200742967.55487138</v>
      </c>
      <c r="W71" s="154">
        <f t="shared" si="85"/>
        <v>3.5863534498820862E-2</v>
      </c>
      <c r="X71" s="154">
        <f t="shared" si="86"/>
        <v>8.8786169099352316E-2</v>
      </c>
      <c r="Y71" s="154">
        <f t="shared" si="87"/>
        <v>3.034980358629101E-2</v>
      </c>
      <c r="Z71" s="154">
        <f t="shared" si="88"/>
        <v>5.8436365513061299E-2</v>
      </c>
      <c r="AA71" s="144">
        <v>15.58</v>
      </c>
      <c r="AB71" s="144">
        <v>2.2355999999999998</v>
      </c>
      <c r="AC71" s="144">
        <v>1.77</v>
      </c>
      <c r="AD71" s="144">
        <v>2.4483000000000001</v>
      </c>
      <c r="AE71" s="144">
        <v>2.4413</v>
      </c>
      <c r="AF71" s="144">
        <v>3.3437000000000001</v>
      </c>
      <c r="AG71" s="144">
        <v>0.49419999999999997</v>
      </c>
      <c r="AH71" s="144">
        <v>1.6785000000000001</v>
      </c>
      <c r="AI71" s="145">
        <f t="shared" si="89"/>
        <v>88541723.273399994</v>
      </c>
      <c r="AJ71" s="145">
        <f t="shared" si="90"/>
        <v>8602881.7879000008</v>
      </c>
      <c r="AK71" s="145">
        <f t="shared" si="91"/>
        <v>85028388.220800012</v>
      </c>
      <c r="AL71" s="152">
        <f t="shared" si="92"/>
        <v>333926718.70727652</v>
      </c>
      <c r="AM71" s="145">
        <f t="shared" si="93"/>
        <v>270716981.76120001</v>
      </c>
      <c r="AN71" s="145">
        <f t="shared" si="82"/>
        <v>786816693.7505765</v>
      </c>
      <c r="AO71" s="169">
        <v>3145391.2600000002</v>
      </c>
      <c r="AP71" s="159">
        <v>422287.66</v>
      </c>
      <c r="AQ71" s="149">
        <v>11447674.510000002</v>
      </c>
      <c r="AR71" s="149">
        <v>750000</v>
      </c>
      <c r="AS71" s="145">
        <f t="shared" si="83"/>
        <v>15765353.430000002</v>
      </c>
      <c r="AT71" s="145">
        <f t="shared" si="94"/>
        <v>771051340.32057655</v>
      </c>
      <c r="AU71" s="145">
        <f t="shared" si="95"/>
        <v>748585400.12859404</v>
      </c>
      <c r="AV71" s="145">
        <f t="shared" si="84"/>
        <v>22465940.191982508</v>
      </c>
      <c r="AW71" s="149">
        <f t="shared" si="96"/>
        <v>0.65398450000218011</v>
      </c>
      <c r="AX71" s="133">
        <v>0.34</v>
      </c>
      <c r="AY71" s="133">
        <v>0.54</v>
      </c>
      <c r="AZ71" s="133">
        <v>0.12</v>
      </c>
      <c r="BA71" s="145">
        <f t="shared" si="97"/>
        <v>7638419.6652740529</v>
      </c>
      <c r="BB71" s="145">
        <f t="shared" si="98"/>
        <v>12131607.703670556</v>
      </c>
      <c r="BC71" s="145">
        <f t="shared" si="99"/>
        <v>2695912.823037901</v>
      </c>
      <c r="BD71" s="145">
        <f t="shared" si="100"/>
        <v>6.2000227559291993E-2</v>
      </c>
      <c r="BE71" s="145">
        <f t="shared" si="101"/>
        <v>0.11636043343644428</v>
      </c>
      <c r="BF71" s="145">
        <f t="shared" si="102"/>
        <v>1.3429675051012665E-2</v>
      </c>
      <c r="BG71" s="145">
        <f t="shared" si="103"/>
        <v>2.5033002275592922</v>
      </c>
      <c r="BH71" s="145">
        <f t="shared" si="104"/>
        <v>3.4600604334364444</v>
      </c>
      <c r="BI71" s="145">
        <f t="shared" si="105"/>
        <v>0.50762967505101264</v>
      </c>
      <c r="BJ71" s="154">
        <f t="shared" si="106"/>
        <v>4.1663534498820862E-2</v>
      </c>
      <c r="BK71" s="154">
        <f t="shared" si="107"/>
        <v>3.3549803586291012E-2</v>
      </c>
      <c r="BL71" s="154">
        <f t="shared" si="108"/>
        <v>6.0236365513061302E-2</v>
      </c>
      <c r="BM71" s="145">
        <f t="shared" si="109"/>
        <v>0.72959731219541402</v>
      </c>
    </row>
    <row r="72" spans="1:65" ht="18" customHeight="1" x14ac:dyDescent="0.25">
      <c r="A72" s="11">
        <v>2014</v>
      </c>
      <c r="B72" s="12" t="s">
        <v>8</v>
      </c>
      <c r="C72" s="25">
        <v>3422354511</v>
      </c>
      <c r="D72" s="26">
        <f t="shared" si="76"/>
        <v>122808358</v>
      </c>
      <c r="E72" s="27">
        <f t="shared" si="77"/>
        <v>302553006</v>
      </c>
      <c r="F72" s="29">
        <v>10499213</v>
      </c>
      <c r="G72" s="26">
        <v>10781228</v>
      </c>
      <c r="H72" s="28">
        <v>11110857</v>
      </c>
      <c r="I72" s="26">
        <v>37885831</v>
      </c>
      <c r="J72" s="26">
        <v>52531229</v>
      </c>
      <c r="K72" s="30">
        <f t="shared" si="78"/>
        <v>122808358</v>
      </c>
      <c r="L72" s="31">
        <v>396997588</v>
      </c>
      <c r="M72" s="32">
        <v>43825130</v>
      </c>
      <c r="N72" s="26">
        <v>11052764</v>
      </c>
      <c r="O72" s="26">
        <v>8275032</v>
      </c>
      <c r="P72" s="26">
        <v>95054159</v>
      </c>
      <c r="Q72" s="26">
        <v>144345921</v>
      </c>
      <c r="R72" s="27">
        <f t="shared" si="79"/>
        <v>302553006</v>
      </c>
      <c r="S72" s="28">
        <f>Q72*'Order 30 Components'!AG12</f>
        <v>48998824.24530413</v>
      </c>
      <c r="T72" s="28">
        <f t="shared" si="80"/>
        <v>95347096.754695863</v>
      </c>
      <c r="U72" s="28">
        <f>R72*'Order 30 Components'!AG12</f>
        <v>102702878.35762568</v>
      </c>
      <c r="V72" s="143">
        <f t="shared" si="81"/>
        <v>199850127.64237434</v>
      </c>
      <c r="W72" s="154">
        <f t="shared" si="85"/>
        <v>3.5884172024047804E-2</v>
      </c>
      <c r="X72" s="154">
        <f t="shared" si="86"/>
        <v>8.8404928544820766E-2</v>
      </c>
      <c r="Y72" s="154">
        <f t="shared" si="87"/>
        <v>3.0009421299728604E-2</v>
      </c>
      <c r="Z72" s="154">
        <f t="shared" si="88"/>
        <v>5.8395507245092161E-2</v>
      </c>
      <c r="AA72" s="144">
        <v>15.01</v>
      </c>
      <c r="AB72" s="144">
        <v>2.4377</v>
      </c>
      <c r="AC72" s="144">
        <v>1.7456</v>
      </c>
      <c r="AD72" s="144">
        <v>2.6419000000000001</v>
      </c>
      <c r="AE72" s="144">
        <v>2.6349</v>
      </c>
      <c r="AF72" s="144">
        <v>3.1798000000000002</v>
      </c>
      <c r="AG72" s="144">
        <v>0.50460000000000005</v>
      </c>
      <c r="AH72" s="144">
        <v>1.677</v>
      </c>
      <c r="AI72" s="145">
        <f t="shared" si="89"/>
        <v>91761421.501900002</v>
      </c>
      <c r="AJ72" s="145">
        <f t="shared" si="90"/>
        <v>8891042.0406999998</v>
      </c>
      <c r="AK72" s="145">
        <f t="shared" si="91"/>
        <v>91575300.059100002</v>
      </c>
      <c r="AL72" s="152">
        <f t="shared" si="92"/>
        <v>342333141.6497376</v>
      </c>
      <c r="AM72" s="145">
        <f t="shared" si="93"/>
        <v>259231200.74489999</v>
      </c>
      <c r="AN72" s="145">
        <f t="shared" si="82"/>
        <v>793792105.99633765</v>
      </c>
      <c r="AO72" s="169">
        <v>3140807.23</v>
      </c>
      <c r="AP72" s="159">
        <v>438321.17</v>
      </c>
      <c r="AQ72" s="149">
        <v>11840659.700000001</v>
      </c>
      <c r="AR72" s="149">
        <v>750000</v>
      </c>
      <c r="AS72" s="145">
        <f t="shared" si="83"/>
        <v>16169788.100000001</v>
      </c>
      <c r="AT72" s="145">
        <f t="shared" si="94"/>
        <v>777622317.89633763</v>
      </c>
      <c r="AU72" s="145">
        <f t="shared" si="95"/>
        <v>751006729.50412035</v>
      </c>
      <c r="AV72" s="145">
        <f t="shared" si="84"/>
        <v>26615588.392217278</v>
      </c>
      <c r="AW72" s="149">
        <f t="shared" si="96"/>
        <v>0.7776981696861176</v>
      </c>
      <c r="AX72" s="133">
        <v>0.34</v>
      </c>
      <c r="AY72" s="133">
        <v>0.54</v>
      </c>
      <c r="AZ72" s="133">
        <v>0.12</v>
      </c>
      <c r="BA72" s="145">
        <f t="shared" si="97"/>
        <v>9049300.0533538759</v>
      </c>
      <c r="BB72" s="145">
        <f t="shared" si="98"/>
        <v>14372417.731797332</v>
      </c>
      <c r="BC72" s="145">
        <f t="shared" si="99"/>
        <v>3193870.6070660735</v>
      </c>
      <c r="BD72" s="145">
        <f t="shared" si="100"/>
        <v>7.3686353280237454E-2</v>
      </c>
      <c r="BE72" s="145">
        <f t="shared" si="101"/>
        <v>0.13994172277967301</v>
      </c>
      <c r="BF72" s="145">
        <f t="shared" si="102"/>
        <v>1.5981328832480941E-2</v>
      </c>
      <c r="BG72" s="145">
        <f t="shared" si="103"/>
        <v>2.7085863532802374</v>
      </c>
      <c r="BH72" s="145">
        <f t="shared" si="104"/>
        <v>3.3197417227796731</v>
      </c>
      <c r="BI72" s="145">
        <f t="shared" si="105"/>
        <v>0.52058132883248098</v>
      </c>
      <c r="BJ72" s="154">
        <f t="shared" si="106"/>
        <v>4.1684172024047804E-2</v>
      </c>
      <c r="BK72" s="154">
        <f t="shared" si="107"/>
        <v>3.3209421299728606E-2</v>
      </c>
      <c r="BL72" s="154">
        <f t="shared" si="108"/>
        <v>6.0195507245092164E-2</v>
      </c>
      <c r="BM72" s="145">
        <f t="shared" si="109"/>
        <v>0.86809424506799726</v>
      </c>
    </row>
    <row r="73" spans="1:65" ht="18" customHeight="1" x14ac:dyDescent="0.25">
      <c r="A73" s="11">
        <v>2014</v>
      </c>
      <c r="B73" s="12" t="s">
        <v>259</v>
      </c>
      <c r="C73" s="25">
        <v>3339084988</v>
      </c>
      <c r="D73" s="26">
        <f t="shared" si="76"/>
        <v>120468016</v>
      </c>
      <c r="E73" s="27">
        <f t="shared" si="77"/>
        <v>295981701</v>
      </c>
      <c r="F73" s="29">
        <v>10261834</v>
      </c>
      <c r="G73" s="26">
        <v>10395571</v>
      </c>
      <c r="H73" s="28">
        <v>8361542</v>
      </c>
      <c r="I73" s="26">
        <v>40127245</v>
      </c>
      <c r="J73" s="26">
        <v>51321824</v>
      </c>
      <c r="K73" s="30">
        <f t="shared" si="78"/>
        <v>120468016</v>
      </c>
      <c r="L73" s="31">
        <v>409664287</v>
      </c>
      <c r="M73" s="32">
        <v>45038892</v>
      </c>
      <c r="N73" s="26">
        <v>11580462</v>
      </c>
      <c r="O73" s="26">
        <v>7062957</v>
      </c>
      <c r="P73" s="26">
        <v>89739406</v>
      </c>
      <c r="Q73" s="26">
        <v>142559984</v>
      </c>
      <c r="R73" s="27">
        <f t="shared" si="79"/>
        <v>295981701</v>
      </c>
      <c r="S73" s="28">
        <f>Q73*'Order 30 Components'!AG13</f>
        <v>48761003.614795409</v>
      </c>
      <c r="T73" s="28">
        <f t="shared" si="80"/>
        <v>93798980.385204583</v>
      </c>
      <c r="U73" s="28">
        <f>R73*'Order 30 Components'!AG13</f>
        <v>101237138.13249512</v>
      </c>
      <c r="V73" s="143">
        <f t="shared" si="81"/>
        <v>194744562.86750489</v>
      </c>
      <c r="W73" s="154">
        <f t="shared" si="85"/>
        <v>3.6078152078469948E-2</v>
      </c>
      <c r="X73" s="154">
        <f t="shared" si="86"/>
        <v>8.8641559608006001E-2</v>
      </c>
      <c r="Y73" s="154">
        <f t="shared" si="87"/>
        <v>3.0318826413919094E-2</v>
      </c>
      <c r="Z73" s="154">
        <f t="shared" si="88"/>
        <v>5.8322733194086908E-2</v>
      </c>
      <c r="AA73" s="144">
        <v>15.22</v>
      </c>
      <c r="AB73" s="144">
        <v>2.6234999999999999</v>
      </c>
      <c r="AC73" s="144">
        <v>1.7688999999999999</v>
      </c>
      <c r="AD73" s="144">
        <v>2.8517999999999999</v>
      </c>
      <c r="AE73" s="144">
        <v>2.8448000000000002</v>
      </c>
      <c r="AF73" s="144">
        <v>3.1496</v>
      </c>
      <c r="AG73" s="144">
        <v>0.50360000000000005</v>
      </c>
      <c r="AH73" s="144">
        <v>1.6047</v>
      </c>
      <c r="AI73" s="145">
        <f t="shared" si="89"/>
        <v>96127745.342800006</v>
      </c>
      <c r="AJ73" s="145">
        <f t="shared" si="90"/>
        <v>9159810.756099999</v>
      </c>
      <c r="AK73" s="145">
        <f t="shared" si="91"/>
        <v>86469878.722499996</v>
      </c>
      <c r="AL73" s="152">
        <f t="shared" si="92"/>
        <v>346815148.42234862</v>
      </c>
      <c r="AM73" s="145">
        <f t="shared" si="93"/>
        <v>258158811.38420001</v>
      </c>
      <c r="AN73" s="145">
        <f t="shared" si="82"/>
        <v>796731394.62794864</v>
      </c>
      <c r="AO73" s="169">
        <v>3283750.31</v>
      </c>
      <c r="AP73" s="159">
        <v>464040.7</v>
      </c>
      <c r="AQ73" s="149">
        <v>11822694.24</v>
      </c>
      <c r="AR73" s="149">
        <v>750000</v>
      </c>
      <c r="AS73" s="145">
        <f t="shared" si="83"/>
        <v>16320485.25</v>
      </c>
      <c r="AT73" s="145">
        <f t="shared" si="94"/>
        <v>780410909.37794864</v>
      </c>
      <c r="AU73" s="145">
        <f t="shared" si="95"/>
        <v>759637264.03898215</v>
      </c>
      <c r="AV73" s="145">
        <f t="shared" si="84"/>
        <v>20773645.338966489</v>
      </c>
      <c r="AW73" s="149">
        <f t="shared" si="96"/>
        <v>0.62213586697022671</v>
      </c>
      <c r="AX73" s="133">
        <v>0.34</v>
      </c>
      <c r="AY73" s="133">
        <v>0.54</v>
      </c>
      <c r="AZ73" s="133">
        <v>0.12</v>
      </c>
      <c r="BA73" s="145">
        <f t="shared" si="97"/>
        <v>7063039.4152486064</v>
      </c>
      <c r="BB73" s="145">
        <f t="shared" si="98"/>
        <v>11217768.483041905</v>
      </c>
      <c r="BC73" s="145">
        <f t="shared" si="99"/>
        <v>2492837.4406759785</v>
      </c>
      <c r="BD73" s="145">
        <f t="shared" si="100"/>
        <v>5.8629996988151661E-2</v>
      </c>
      <c r="BE73" s="145">
        <f t="shared" si="101"/>
        <v>0.11080685102299651</v>
      </c>
      <c r="BF73" s="145">
        <f t="shared" si="102"/>
        <v>1.2800549622389143E-2</v>
      </c>
      <c r="BG73" s="145">
        <f t="shared" si="103"/>
        <v>2.9034299969881521</v>
      </c>
      <c r="BH73" s="145">
        <f t="shared" si="104"/>
        <v>3.2604068510229967</v>
      </c>
      <c r="BI73" s="145">
        <f t="shared" si="105"/>
        <v>0.51640054962238924</v>
      </c>
      <c r="BJ73" s="154">
        <f t="shared" si="106"/>
        <v>4.1878152078469948E-2</v>
      </c>
      <c r="BK73" s="154">
        <f t="shared" si="107"/>
        <v>3.3518826413919095E-2</v>
      </c>
      <c r="BL73" s="154">
        <f t="shared" si="108"/>
        <v>6.0122733194086911E-2</v>
      </c>
      <c r="BM73" s="145">
        <f t="shared" si="109"/>
        <v>0.6939035564827436</v>
      </c>
    </row>
    <row r="74" spans="1:65" ht="18" customHeight="1" x14ac:dyDescent="0.25">
      <c r="A74" s="11">
        <v>2014</v>
      </c>
      <c r="B74" s="12" t="s">
        <v>260</v>
      </c>
      <c r="C74" s="25">
        <v>3178833881</v>
      </c>
      <c r="D74" s="26">
        <f t="shared" si="76"/>
        <v>116385628</v>
      </c>
      <c r="E74" s="27">
        <f t="shared" si="77"/>
        <v>282076391</v>
      </c>
      <c r="F74" s="29">
        <v>9978101</v>
      </c>
      <c r="G74" s="26">
        <v>10598227</v>
      </c>
      <c r="H74" s="28">
        <v>8386969</v>
      </c>
      <c r="I74" s="26">
        <v>35740931</v>
      </c>
      <c r="J74" s="26">
        <v>51681400</v>
      </c>
      <c r="K74" s="30">
        <f t="shared" si="78"/>
        <v>116385628</v>
      </c>
      <c r="L74" s="31">
        <v>408336011</v>
      </c>
      <c r="M74" s="32">
        <v>45207144</v>
      </c>
      <c r="N74" s="26">
        <v>11942516</v>
      </c>
      <c r="O74" s="26">
        <v>6677182</v>
      </c>
      <c r="P74" s="26">
        <v>78737599</v>
      </c>
      <c r="Q74" s="26">
        <v>139511950</v>
      </c>
      <c r="R74" s="27">
        <f t="shared" si="79"/>
        <v>282076391</v>
      </c>
      <c r="S74" s="28">
        <f>Q74*'Order 30 Components'!AG14</f>
        <v>48572141.883541562</v>
      </c>
      <c r="T74" s="28">
        <f t="shared" si="80"/>
        <v>90939808.116458446</v>
      </c>
      <c r="U74" s="28">
        <f>R74*'Order 30 Components'!AG14</f>
        <v>98207031.624526396</v>
      </c>
      <c r="V74" s="143">
        <f t="shared" si="81"/>
        <v>183869359.37547362</v>
      </c>
      <c r="W74" s="154">
        <f t="shared" si="85"/>
        <v>3.6612680107520224E-2</v>
      </c>
      <c r="X74" s="154">
        <f t="shared" si="86"/>
        <v>8.8735807393390501E-2</v>
      </c>
      <c r="Y74" s="154">
        <f t="shared" si="87"/>
        <v>3.089404331931694E-2</v>
      </c>
      <c r="Z74" s="154">
        <f t="shared" si="88"/>
        <v>5.7841764074073557E-2</v>
      </c>
      <c r="AA74" s="144">
        <v>14.56</v>
      </c>
      <c r="AB74" s="144">
        <v>2.7372999999999998</v>
      </c>
      <c r="AC74" s="144">
        <v>1.6956</v>
      </c>
      <c r="AD74" s="144">
        <v>3.2536999999999998</v>
      </c>
      <c r="AE74" s="144">
        <v>3.2467000000000001</v>
      </c>
      <c r="AF74" s="144">
        <v>3.4990999999999999</v>
      </c>
      <c r="AG74" s="144">
        <v>0.48759999999999998</v>
      </c>
      <c r="AH74" s="144">
        <v>1.2909999999999999</v>
      </c>
      <c r="AI74" s="145">
        <f t="shared" si="89"/>
        <v>93348939.235300004</v>
      </c>
      <c r="AJ74" s="145">
        <f t="shared" si="90"/>
        <v>9131368.7431999985</v>
      </c>
      <c r="AK74" s="145">
        <f t="shared" si="91"/>
        <v>93343692.153999999</v>
      </c>
      <c r="AL74" s="152">
        <f t="shared" si="92"/>
        <v>382095033.48228538</v>
      </c>
      <c r="AM74" s="145">
        <f t="shared" si="93"/>
        <v>217690320.9867</v>
      </c>
      <c r="AN74" s="145">
        <f t="shared" si="82"/>
        <v>795609354.60148549</v>
      </c>
      <c r="AO74" s="169">
        <v>3162845.5700000003</v>
      </c>
      <c r="AP74" s="159">
        <v>491007.13</v>
      </c>
      <c r="AQ74" s="149">
        <v>11427658.85</v>
      </c>
      <c r="AR74" s="149">
        <v>750000</v>
      </c>
      <c r="AS74" s="145">
        <f t="shared" si="83"/>
        <v>15831511.550000001</v>
      </c>
      <c r="AT74" s="145">
        <f t="shared" si="94"/>
        <v>779777843.05148554</v>
      </c>
      <c r="AU74" s="145">
        <f t="shared" si="95"/>
        <v>811160142.41646123</v>
      </c>
      <c r="AV74" s="145">
        <f t="shared" si="84"/>
        <v>-31382299.364975691</v>
      </c>
      <c r="AW74" s="149">
        <f t="shared" si="96"/>
        <v>-0.9872267800009551</v>
      </c>
      <c r="AX74" s="133">
        <v>0.34</v>
      </c>
      <c r="AY74" s="133">
        <v>0.54</v>
      </c>
      <c r="AZ74" s="133">
        <v>0.12</v>
      </c>
      <c r="BA74" s="145">
        <f t="shared" si="97"/>
        <v>-10669981.784091735</v>
      </c>
      <c r="BB74" s="145">
        <f t="shared" si="98"/>
        <v>-16946441.657086875</v>
      </c>
      <c r="BC74" s="145">
        <f t="shared" si="99"/>
        <v>-3765875.9237970826</v>
      </c>
      <c r="BD74" s="145">
        <f t="shared" si="100"/>
        <v>-9.1677829706703434E-2</v>
      </c>
      <c r="BE74" s="145">
        <f t="shared" si="101"/>
        <v>-0.17255833290917472</v>
      </c>
      <c r="BF74" s="145">
        <f t="shared" si="102"/>
        <v>-2.0481258740380502E-2</v>
      </c>
      <c r="BG74" s="145">
        <f t="shared" si="103"/>
        <v>3.1550221702932966</v>
      </c>
      <c r="BH74" s="145">
        <f t="shared" si="104"/>
        <v>3.326541667090825</v>
      </c>
      <c r="BI74" s="145">
        <f t="shared" si="105"/>
        <v>0.4671187412596195</v>
      </c>
      <c r="BJ74" s="154">
        <f t="shared" si="106"/>
        <v>4.2412680107520223E-2</v>
      </c>
      <c r="BK74" s="154">
        <f t="shared" si="107"/>
        <v>3.4094043319316938E-2</v>
      </c>
      <c r="BL74" s="154">
        <f t="shared" si="108"/>
        <v>5.964176407407356E-2</v>
      </c>
      <c r="BM74" s="145">
        <f t="shared" si="109"/>
        <v>-1.0993052143350475</v>
      </c>
    </row>
    <row r="75" spans="1:65" ht="18" customHeight="1" x14ac:dyDescent="0.25">
      <c r="A75" s="11">
        <v>2014</v>
      </c>
      <c r="B75" s="12" t="s">
        <v>261</v>
      </c>
      <c r="C75" s="25">
        <v>3322831966</v>
      </c>
      <c r="D75" s="26">
        <f t="shared" si="76"/>
        <v>124101435</v>
      </c>
      <c r="E75" s="27">
        <f t="shared" si="77"/>
        <v>297763620</v>
      </c>
      <c r="F75" s="29">
        <v>10544596</v>
      </c>
      <c r="G75" s="26">
        <v>9205642</v>
      </c>
      <c r="H75" s="28">
        <v>6724031</v>
      </c>
      <c r="I75" s="26">
        <v>43811584</v>
      </c>
      <c r="J75" s="26">
        <v>53815582</v>
      </c>
      <c r="K75" s="30">
        <f t="shared" si="78"/>
        <v>124101435</v>
      </c>
      <c r="L75" s="31">
        <v>435688817</v>
      </c>
      <c r="M75" s="32">
        <v>48571383</v>
      </c>
      <c r="N75" s="26">
        <v>11856380</v>
      </c>
      <c r="O75" s="26">
        <v>6564087</v>
      </c>
      <c r="P75" s="26">
        <v>84462383</v>
      </c>
      <c r="Q75" s="26">
        <v>146309387</v>
      </c>
      <c r="R75" s="27">
        <f t="shared" si="79"/>
        <v>297763620</v>
      </c>
      <c r="S75" s="28">
        <f>Q75*'Order 30 Components'!AG15</f>
        <v>51790003.90112561</v>
      </c>
      <c r="T75" s="28">
        <f t="shared" si="80"/>
        <v>94519383.09887439</v>
      </c>
      <c r="U75" s="28">
        <f>R75*'Order 30 Components'!AG15</f>
        <v>105401159.54018237</v>
      </c>
      <c r="V75" s="143">
        <f t="shared" si="81"/>
        <v>192362460.45981765</v>
      </c>
      <c r="W75" s="154">
        <f t="shared" si="85"/>
        <v>3.7348092310967015E-2</v>
      </c>
      <c r="X75" s="154">
        <f t="shared" si="86"/>
        <v>8.9611398664388553E-2</v>
      </c>
      <c r="Y75" s="154">
        <f t="shared" si="87"/>
        <v>3.172027975494153E-2</v>
      </c>
      <c r="Z75" s="154">
        <f t="shared" si="88"/>
        <v>5.789111890944703E-2</v>
      </c>
      <c r="AA75" s="144">
        <v>13.67</v>
      </c>
      <c r="AB75" s="144">
        <v>3.141</v>
      </c>
      <c r="AC75" s="144">
        <v>1.3733</v>
      </c>
      <c r="AD75" s="144">
        <v>2.8576999999999999</v>
      </c>
      <c r="AE75" s="144">
        <v>2.8506999999999998</v>
      </c>
      <c r="AF75" s="144">
        <v>3.7362000000000002</v>
      </c>
      <c r="AG75" s="144">
        <v>0.46700000000000003</v>
      </c>
      <c r="AH75" s="144">
        <v>1.3089999999999999</v>
      </c>
      <c r="AI75" s="145">
        <f t="shared" si="89"/>
        <v>99318945.375999987</v>
      </c>
      <c r="AJ75" s="145">
        <f t="shared" si="90"/>
        <v>9747654.4812000003</v>
      </c>
      <c r="AK75" s="145">
        <f t="shared" si="91"/>
        <v>70819053.863199994</v>
      </c>
      <c r="AL75" s="152">
        <f t="shared" si="92"/>
        <v>391050444.08995986</v>
      </c>
      <c r="AM75" s="145">
        <f t="shared" si="93"/>
        <v>235454941.85579997</v>
      </c>
      <c r="AN75" s="145">
        <f t="shared" si="82"/>
        <v>806391039.66615987</v>
      </c>
      <c r="AO75" s="169">
        <v>3294321.93</v>
      </c>
      <c r="AP75" s="159">
        <v>467815.8</v>
      </c>
      <c r="AQ75" s="149">
        <v>11843916.9</v>
      </c>
      <c r="AR75" s="149">
        <v>750000</v>
      </c>
      <c r="AS75" s="145">
        <f t="shared" si="83"/>
        <v>16356054.630000001</v>
      </c>
      <c r="AT75" s="145">
        <f t="shared" si="94"/>
        <v>790034985.03615987</v>
      </c>
      <c r="AU75" s="145">
        <f t="shared" si="95"/>
        <v>837409042.06326425</v>
      </c>
      <c r="AV75" s="145">
        <f t="shared" si="84"/>
        <v>-47374057.027104378</v>
      </c>
      <c r="AW75" s="149">
        <f t="shared" si="96"/>
        <v>-1.4257132925121372</v>
      </c>
      <c r="AX75" s="133">
        <v>0.34</v>
      </c>
      <c r="AY75" s="133">
        <v>0.54</v>
      </c>
      <c r="AZ75" s="133">
        <v>0.12</v>
      </c>
      <c r="BA75" s="145">
        <f t="shared" si="97"/>
        <v>-16107179.38921549</v>
      </c>
      <c r="BB75" s="145">
        <f t="shared" si="98"/>
        <v>-25581990.794636365</v>
      </c>
      <c r="BC75" s="145">
        <f t="shared" si="99"/>
        <v>-5684886.8432525247</v>
      </c>
      <c r="BD75" s="145">
        <f t="shared" si="100"/>
        <v>-0.12979043626059192</v>
      </c>
      <c r="BE75" s="145">
        <f t="shared" si="101"/>
        <v>-0.24271071500768143</v>
      </c>
      <c r="BF75" s="145">
        <f t="shared" si="102"/>
        <v>-2.955299505768192E-2</v>
      </c>
      <c r="BG75" s="145">
        <f t="shared" si="103"/>
        <v>2.7209095637394078</v>
      </c>
      <c r="BH75" s="145">
        <f t="shared" si="104"/>
        <v>3.4934892849923189</v>
      </c>
      <c r="BI75" s="145">
        <f t="shared" si="105"/>
        <v>0.43744700494231809</v>
      </c>
      <c r="BJ75" s="154">
        <f t="shared" si="106"/>
        <v>4.3148092310967015E-2</v>
      </c>
      <c r="BK75" s="154">
        <f t="shared" si="107"/>
        <v>3.4920279754941531E-2</v>
      </c>
      <c r="BL75" s="154">
        <f t="shared" si="108"/>
        <v>5.9691118909447033E-2</v>
      </c>
      <c r="BM75" s="145">
        <f t="shared" si="109"/>
        <v>-1.5839787134561214</v>
      </c>
    </row>
    <row r="76" spans="1:65" ht="18" customHeight="1" x14ac:dyDescent="0.25">
      <c r="A76" s="11">
        <v>2014</v>
      </c>
      <c r="B76" s="12" t="s">
        <v>262</v>
      </c>
      <c r="C76" s="25">
        <v>3246258753</v>
      </c>
      <c r="D76" s="26">
        <f t="shared" si="76"/>
        <v>123206471</v>
      </c>
      <c r="E76" s="27">
        <f t="shared" si="77"/>
        <v>292455467</v>
      </c>
      <c r="F76" s="29">
        <v>9848106</v>
      </c>
      <c r="G76" s="26">
        <v>10196149</v>
      </c>
      <c r="H76" s="28">
        <v>5223241</v>
      </c>
      <c r="I76" s="26">
        <v>43954222</v>
      </c>
      <c r="J76" s="26">
        <v>53984753</v>
      </c>
      <c r="K76" s="30">
        <f t="shared" si="78"/>
        <v>123206471</v>
      </c>
      <c r="L76" s="31">
        <v>401511342</v>
      </c>
      <c r="M76" s="32">
        <v>44940081</v>
      </c>
      <c r="N76" s="26">
        <v>11149211</v>
      </c>
      <c r="O76" s="26">
        <v>5718742</v>
      </c>
      <c r="P76" s="26">
        <v>88943968</v>
      </c>
      <c r="Q76" s="26">
        <v>141703465</v>
      </c>
      <c r="R76" s="27">
        <f t="shared" si="79"/>
        <v>292455467</v>
      </c>
      <c r="S76" s="28">
        <f>Q76*'Order 30 Components'!AG16</f>
        <v>50385246.016041823</v>
      </c>
      <c r="T76" s="28">
        <f t="shared" si="80"/>
        <v>91318218.983958185</v>
      </c>
      <c r="U76" s="28">
        <f>R76*'Order 30 Components'!AG16</f>
        <v>103987864.04786503</v>
      </c>
      <c r="V76" s="143">
        <f t="shared" si="81"/>
        <v>188467602.95213497</v>
      </c>
      <c r="W76" s="154">
        <f t="shared" si="85"/>
        <v>3.795337352148527E-2</v>
      </c>
      <c r="X76" s="154">
        <f t="shared" si="86"/>
        <v>9.0090004910954799E-2</v>
      </c>
      <c r="Y76" s="154">
        <f t="shared" si="87"/>
        <v>3.2033140904669292E-2</v>
      </c>
      <c r="Z76" s="154">
        <f t="shared" si="88"/>
        <v>5.8056864006285507E-2</v>
      </c>
      <c r="AA76" s="144">
        <v>13.25</v>
      </c>
      <c r="AB76" s="144">
        <v>3.2216</v>
      </c>
      <c r="AC76" s="144">
        <v>1.4021999999999999</v>
      </c>
      <c r="AD76" s="144">
        <v>2.2081</v>
      </c>
      <c r="AE76" s="144">
        <v>2.2010999999999998</v>
      </c>
      <c r="AF76" s="144">
        <v>3.9018000000000002</v>
      </c>
      <c r="AG76" s="144">
        <v>0.45050000000000001</v>
      </c>
      <c r="AH76" s="144">
        <v>1.2101999999999999</v>
      </c>
      <c r="AI76" s="145">
        <f t="shared" si="89"/>
        <v>90881471.837099999</v>
      </c>
      <c r="AJ76" s="145">
        <f t="shared" si="90"/>
        <v>8989100.7213000003</v>
      </c>
      <c r="AK76" s="145">
        <f t="shared" si="91"/>
        <v>57699798.755599998</v>
      </c>
      <c r="AL76" s="152">
        <f t="shared" si="92"/>
        <v>356557850.38596517</v>
      </c>
      <c r="AM76" s="145">
        <f t="shared" si="93"/>
        <v>204387628.1178</v>
      </c>
      <c r="AN76" s="145">
        <f t="shared" si="82"/>
        <v>718515849.81776524</v>
      </c>
      <c r="AO76" s="169">
        <v>3102788.0999999996</v>
      </c>
      <c r="AP76" s="159">
        <v>428260.98</v>
      </c>
      <c r="AQ76" s="149">
        <v>11451265.970000001</v>
      </c>
      <c r="AR76" s="149">
        <v>750000</v>
      </c>
      <c r="AS76" s="145">
        <f t="shared" si="83"/>
        <v>15732315.050000001</v>
      </c>
      <c r="AT76" s="145">
        <f t="shared" si="94"/>
        <v>702783534.76776528</v>
      </c>
      <c r="AU76" s="145">
        <f t="shared" si="95"/>
        <v>761834266.38999665</v>
      </c>
      <c r="AV76" s="145">
        <f t="shared" si="84"/>
        <v>-59050731.622231364</v>
      </c>
      <c r="AW76" s="149">
        <f t="shared" si="96"/>
        <v>-1.8190395811073339</v>
      </c>
      <c r="AX76" s="133">
        <v>0.34</v>
      </c>
      <c r="AY76" s="133">
        <v>0.54</v>
      </c>
      <c r="AZ76" s="133">
        <v>0.12</v>
      </c>
      <c r="BA76" s="145">
        <f t="shared" si="97"/>
        <v>-20077248.751558665</v>
      </c>
      <c r="BB76" s="145">
        <f t="shared" si="98"/>
        <v>-31887395.076004937</v>
      </c>
      <c r="BC76" s="145">
        <f t="shared" si="99"/>
        <v>-7086087.7946677636</v>
      </c>
      <c r="BD76" s="145">
        <f t="shared" si="100"/>
        <v>-0.16295612226048309</v>
      </c>
      <c r="BE76" s="145">
        <f t="shared" si="101"/>
        <v>-0.30664535105103563</v>
      </c>
      <c r="BF76" s="145">
        <f t="shared" si="102"/>
        <v>-3.7598439645180899E-2</v>
      </c>
      <c r="BG76" s="145">
        <f t="shared" si="103"/>
        <v>2.0381438777395169</v>
      </c>
      <c r="BH76" s="145">
        <f t="shared" si="104"/>
        <v>3.5951546489489647</v>
      </c>
      <c r="BI76" s="145">
        <f t="shared" si="105"/>
        <v>0.41290156035481912</v>
      </c>
      <c r="BJ76" s="154">
        <f t="shared" si="106"/>
        <v>4.375337352148527E-2</v>
      </c>
      <c r="BK76" s="154">
        <f t="shared" si="107"/>
        <v>3.5233140904669294E-2</v>
      </c>
      <c r="BL76" s="154">
        <f t="shared" si="108"/>
        <v>5.985686400628551E-2</v>
      </c>
      <c r="BM76" s="145">
        <f t="shared" si="109"/>
        <v>-2.0184483634908781</v>
      </c>
    </row>
    <row r="77" spans="1:65" s="146" customFormat="1" ht="18" customHeight="1" x14ac:dyDescent="0.25">
      <c r="A77" s="269">
        <v>2014</v>
      </c>
      <c r="B77" s="86" t="s">
        <v>263</v>
      </c>
      <c r="C77" s="254">
        <v>3361867921</v>
      </c>
      <c r="D77" s="254">
        <f t="shared" si="76"/>
        <v>128159927</v>
      </c>
      <c r="E77" s="254">
        <f t="shared" si="77"/>
        <v>302372025</v>
      </c>
      <c r="F77" s="254">
        <v>10654452</v>
      </c>
      <c r="G77" s="254">
        <v>9809899</v>
      </c>
      <c r="H77" s="254">
        <v>4756247</v>
      </c>
      <c r="I77" s="254">
        <v>47491054</v>
      </c>
      <c r="J77" s="254">
        <v>55448275</v>
      </c>
      <c r="K77" s="254">
        <f t="shared" si="78"/>
        <v>128159927</v>
      </c>
      <c r="L77" s="254">
        <v>421871745</v>
      </c>
      <c r="M77" s="254">
        <v>47036884</v>
      </c>
      <c r="N77" s="254">
        <v>11797277</v>
      </c>
      <c r="O77" s="254">
        <v>4301806</v>
      </c>
      <c r="P77" s="254">
        <v>91917620</v>
      </c>
      <c r="Q77" s="254">
        <v>147318438</v>
      </c>
      <c r="R77" s="254">
        <f t="shared" si="79"/>
        <v>302372025</v>
      </c>
      <c r="S77" s="28">
        <f>Q77*'Order 30 Components'!AG17</f>
        <v>52271700.902416848</v>
      </c>
      <c r="T77" s="254">
        <f t="shared" si="80"/>
        <v>95046737.097583145</v>
      </c>
      <c r="U77" s="28">
        <f>R77*'Order 30 Components'!AG17</f>
        <v>107287996.44249628</v>
      </c>
      <c r="V77" s="259">
        <f t="shared" si="81"/>
        <v>195084028.5575037</v>
      </c>
      <c r="W77" s="260">
        <f t="shared" si="85"/>
        <v>3.8121642495068143E-2</v>
      </c>
      <c r="X77" s="154">
        <f t="shared" si="86"/>
        <v>8.9941672934628056E-2</v>
      </c>
      <c r="Y77" s="260">
        <f t="shared" si="87"/>
        <v>3.1913209847513307E-2</v>
      </c>
      <c r="Z77" s="260">
        <f t="shared" si="88"/>
        <v>5.8028463087114748E-2</v>
      </c>
      <c r="AA77" s="261">
        <v>15.39</v>
      </c>
      <c r="AB77" s="261">
        <v>2.1934999999999998</v>
      </c>
      <c r="AC77" s="261">
        <v>1.3489</v>
      </c>
      <c r="AD77" s="261">
        <v>2.1061000000000001</v>
      </c>
      <c r="AE77" s="261">
        <v>2.0991</v>
      </c>
      <c r="AF77" s="261">
        <v>2.7387000000000001</v>
      </c>
      <c r="AG77" s="261">
        <v>0.39960000000000001</v>
      </c>
      <c r="AH77" s="261">
        <v>1.0767</v>
      </c>
      <c r="AI77" s="263">
        <f t="shared" si="89"/>
        <v>95535578.465100005</v>
      </c>
      <c r="AJ77" s="263">
        <f t="shared" si="90"/>
        <v>9447392.6956999991</v>
      </c>
      <c r="AK77" s="263">
        <f t="shared" si="91"/>
        <v>52393813.149300002</v>
      </c>
      <c r="AL77" s="264">
        <f t="shared" si="92"/>
        <v>297528657.45814323</v>
      </c>
      <c r="AM77" s="263">
        <f t="shared" si="93"/>
        <v>198656172.90539998</v>
      </c>
      <c r="AN77" s="263">
        <f t="shared" si="82"/>
        <v>653561614.67364323</v>
      </c>
      <c r="AO77" s="265">
        <v>3143581.38</v>
      </c>
      <c r="AP77" s="266">
        <v>498433.47000000003</v>
      </c>
      <c r="AQ77" s="267">
        <v>11835947.41</v>
      </c>
      <c r="AR77" s="267">
        <v>750000</v>
      </c>
      <c r="AS77" s="263">
        <f t="shared" si="83"/>
        <v>16227962.26</v>
      </c>
      <c r="AT77" s="263">
        <f t="shared" si="94"/>
        <v>637333652.41364324</v>
      </c>
      <c r="AU77" s="263">
        <f t="shared" si="95"/>
        <v>640805716.4343431</v>
      </c>
      <c r="AV77" s="263">
        <f t="shared" si="84"/>
        <v>-3472064.0206998587</v>
      </c>
      <c r="AW77" s="267">
        <f t="shared" si="96"/>
        <v>-0.10327782358764054</v>
      </c>
      <c r="AX77" s="262">
        <v>0.34</v>
      </c>
      <c r="AY77" s="262">
        <v>0.54</v>
      </c>
      <c r="AZ77" s="262">
        <v>0.12</v>
      </c>
      <c r="BA77" s="263">
        <f t="shared" si="97"/>
        <v>-1180501.7670379521</v>
      </c>
      <c r="BB77" s="263">
        <f t="shared" si="98"/>
        <v>-1874914.5711779238</v>
      </c>
      <c r="BC77" s="263">
        <f t="shared" si="99"/>
        <v>-416647.68248398305</v>
      </c>
      <c r="BD77" s="263">
        <f t="shared" si="100"/>
        <v>-9.2111613565288002E-3</v>
      </c>
      <c r="BE77" s="263">
        <f t="shared" si="101"/>
        <v>-1.7475529726970265E-2</v>
      </c>
      <c r="BF77" s="263">
        <f t="shared" si="102"/>
        <v>-2.1357344605028514E-3</v>
      </c>
      <c r="BG77" s="263">
        <f t="shared" si="103"/>
        <v>2.0898888386434713</v>
      </c>
      <c r="BH77" s="263">
        <f t="shared" si="104"/>
        <v>2.7212244702730297</v>
      </c>
      <c r="BI77" s="263">
        <f t="shared" si="105"/>
        <v>0.39746426553949715</v>
      </c>
      <c r="BJ77" s="260">
        <f t="shared" si="106"/>
        <v>4.3921642495068143E-2</v>
      </c>
      <c r="BK77" s="260">
        <f t="shared" si="107"/>
        <v>3.5113209847513309E-2</v>
      </c>
      <c r="BL77" s="260">
        <f t="shared" si="108"/>
        <v>5.9828463087114751E-2</v>
      </c>
      <c r="BM77" s="263">
        <f t="shared" si="109"/>
        <v>-0.11459689888994827</v>
      </c>
    </row>
    <row r="78" spans="1:65" s="197" customFormat="1" ht="18" customHeight="1" x14ac:dyDescent="0.25">
      <c r="A78" s="223" t="s">
        <v>153</v>
      </c>
      <c r="B78" s="12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70"/>
      <c r="W78" s="155">
        <f>AVERAGE(W6:W77)</f>
        <v>3.6837783171146866E-2</v>
      </c>
      <c r="X78" s="155">
        <f>AVERAGE(X6:X77)</f>
        <v>8.8681685475961614E-2</v>
      </c>
      <c r="Y78" s="155">
        <f t="shared" ref="Y78:Z78" si="110">AVERAGE(Y6:Y77)</f>
        <v>3.0907945016513165E-2</v>
      </c>
      <c r="Z78" s="155">
        <f t="shared" si="110"/>
        <v>5.7773740459448449E-2</v>
      </c>
      <c r="AA78" s="272">
        <f>AVERAGE(AA6:AA77)</f>
        <v>11.596805555555555</v>
      </c>
      <c r="AB78" s="272">
        <f t="shared" ref="AB78:AD78" si="111">AVERAGE(AB6:AB77)</f>
        <v>1.8281111111111119</v>
      </c>
      <c r="AC78" s="272">
        <f t="shared" si="111"/>
        <v>1.2962513888888887</v>
      </c>
      <c r="AD78" s="272">
        <f t="shared" si="111"/>
        <v>1.8452805555555558</v>
      </c>
      <c r="AE78" s="272">
        <f>AVERAGE(AE6:AE77)</f>
        <v>1.8382805555555553</v>
      </c>
      <c r="AF78" s="272">
        <f>AVERAGE(AF6:AF77)</f>
        <v>2.9368680555555553</v>
      </c>
      <c r="AG78" s="158">
        <f>AVERAGE(AG6:AG77)</f>
        <v>0.30995416666666659</v>
      </c>
      <c r="AH78" s="158">
        <f>AVERAGE(AH6:AH77)</f>
        <v>1.2197916666666668</v>
      </c>
      <c r="AI78" s="274"/>
      <c r="AJ78" s="274"/>
      <c r="AK78" s="274"/>
      <c r="AL78" s="275"/>
      <c r="AM78" s="274"/>
      <c r="AN78" s="274"/>
      <c r="AO78" s="276"/>
      <c r="AP78" s="277"/>
      <c r="AQ78" s="278">
        <f>AVERAGE(AQ6:AQ77)</f>
        <v>11630887.265416667</v>
      </c>
      <c r="AR78" s="278"/>
      <c r="AS78" s="274"/>
      <c r="AT78" s="274"/>
      <c r="AU78" s="274"/>
      <c r="AV78" s="274">
        <f>AVERAGE(AV6:AV77)</f>
        <v>-8807210.9167413209</v>
      </c>
      <c r="AW78" s="145">
        <f>AVERAGE(AW6:AW77)</f>
        <v>-0.27477271588800978</v>
      </c>
      <c r="AX78" s="273"/>
      <c r="AY78" s="273"/>
      <c r="AZ78" s="273"/>
      <c r="BA78" s="145">
        <f>AVERAGE(BA6:BA77)</f>
        <v>-3103962.3066420779</v>
      </c>
      <c r="BB78" s="145">
        <f t="shared" ref="BB78:BC78" si="112">AVERAGE(BB6:BB77)</f>
        <v>-4884808.8404050954</v>
      </c>
      <c r="BC78" s="145">
        <f t="shared" si="112"/>
        <v>-870690.73074975016</v>
      </c>
      <c r="BD78" s="145">
        <f>AVERAGE(BD6:BD77)</f>
        <v>-2.6018921460925874E-2</v>
      </c>
      <c r="BE78" s="145">
        <f t="shared" ref="BE78:BF78" si="113">AVERAGE(BE6:BE77)</f>
        <v>-4.8867470094004169E-2</v>
      </c>
      <c r="BF78" s="145">
        <f t="shared" si="113"/>
        <v>-4.5895562678434729E-3</v>
      </c>
      <c r="BG78" s="274"/>
      <c r="BH78" s="274"/>
      <c r="BI78" s="274"/>
      <c r="BJ78" s="271"/>
      <c r="BK78" s="271"/>
      <c r="BL78" s="271"/>
      <c r="BM78" s="145">
        <f>AVERAGE(BM6:BM77)</f>
        <v>-0.30792448604774575</v>
      </c>
    </row>
    <row r="79" spans="1:65" s="197" customFormat="1" ht="21.75" customHeight="1" x14ac:dyDescent="0.25">
      <c r="A79" s="428" t="s">
        <v>108</v>
      </c>
      <c r="B79" s="428"/>
      <c r="C79" s="428"/>
      <c r="D79" s="428"/>
      <c r="E79" s="42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33"/>
      <c r="W79" s="155"/>
      <c r="X79" s="155"/>
      <c r="Y79" s="155"/>
      <c r="Z79" s="155"/>
      <c r="AA79" s="147"/>
      <c r="AB79" s="147"/>
      <c r="AC79" s="147"/>
      <c r="AD79" s="147"/>
      <c r="AE79" s="133"/>
      <c r="AF79" s="158"/>
      <c r="AG79" s="158"/>
      <c r="AH79" s="158"/>
      <c r="AI79" s="133"/>
      <c r="AJ79" s="133"/>
      <c r="AK79" s="133"/>
      <c r="AL79" s="151"/>
      <c r="AM79" s="133"/>
      <c r="AN79" s="133"/>
      <c r="AO79" s="149"/>
      <c r="AP79" s="133"/>
      <c r="AQ79" s="133"/>
      <c r="AR79" s="133"/>
      <c r="AS79" s="133"/>
      <c r="AT79" s="133"/>
      <c r="AU79" s="133"/>
      <c r="AV79" s="133"/>
      <c r="AW79" s="145"/>
      <c r="AX79" s="133"/>
      <c r="AY79" s="133"/>
      <c r="AZ79" s="133"/>
      <c r="BA79" s="145"/>
      <c r="BB79" s="145"/>
      <c r="BC79" s="145"/>
      <c r="BD79" s="145"/>
      <c r="BE79" s="145"/>
      <c r="BF79" s="145"/>
      <c r="BG79" s="133"/>
      <c r="BH79" s="133"/>
      <c r="BI79" s="133"/>
      <c r="BJ79" s="133"/>
      <c r="BK79" s="133"/>
      <c r="BL79" s="133"/>
      <c r="BM79" s="145"/>
    </row>
    <row r="80" spans="1:65" s="197" customFormat="1" ht="21.75" customHeight="1" x14ac:dyDescent="0.25">
      <c r="A80" s="199" t="s">
        <v>109</v>
      </c>
      <c r="B80" s="199"/>
      <c r="C80" s="199"/>
      <c r="D80" s="199"/>
      <c r="E80" s="199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33"/>
      <c r="W80" s="155"/>
      <c r="X80" s="155"/>
      <c r="Y80" s="155"/>
      <c r="Z80" s="155"/>
      <c r="AA80" s="147"/>
      <c r="AB80" s="147"/>
      <c r="AC80" s="147"/>
      <c r="AD80" s="147"/>
      <c r="AE80" s="133"/>
      <c r="AF80" s="158"/>
      <c r="AG80" s="158"/>
      <c r="AH80" s="158"/>
      <c r="AI80" s="133"/>
      <c r="AJ80" s="133"/>
      <c r="AK80" s="133"/>
      <c r="AL80" s="151"/>
      <c r="AM80" s="133"/>
      <c r="AN80" s="133"/>
      <c r="AO80" s="149"/>
      <c r="AP80" s="133"/>
      <c r="AQ80" s="133"/>
      <c r="AR80" s="133"/>
      <c r="AS80" s="133"/>
      <c r="AT80" s="133"/>
      <c r="AU80" s="133"/>
      <c r="AV80" s="133"/>
      <c r="AW80" s="145"/>
      <c r="AX80" s="133"/>
      <c r="AY80" s="133"/>
      <c r="AZ80" s="133"/>
      <c r="BA80" s="145"/>
      <c r="BB80" s="145"/>
      <c r="BC80" s="145"/>
      <c r="BD80" s="145"/>
      <c r="BE80" s="145"/>
      <c r="BF80" s="145"/>
      <c r="BG80" s="133"/>
      <c r="BH80" s="133"/>
      <c r="BI80" s="133"/>
      <c r="BJ80" s="133"/>
      <c r="BK80" s="133"/>
      <c r="BL80" s="133"/>
      <c r="BM80" s="145"/>
    </row>
    <row r="81" spans="1:65" s="197" customFormat="1" ht="21.75" customHeight="1" x14ac:dyDescent="0.25">
      <c r="A81" s="203" t="s">
        <v>113</v>
      </c>
      <c r="B81" s="199"/>
      <c r="C81" s="199"/>
      <c r="D81" s="199"/>
      <c r="E81" s="199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33"/>
      <c r="W81" s="155"/>
      <c r="X81" s="155"/>
      <c r="Y81" s="155"/>
      <c r="Z81" s="155"/>
      <c r="AA81" s="147"/>
      <c r="AB81" s="147"/>
      <c r="AC81" s="147"/>
      <c r="AD81" s="147"/>
      <c r="AE81" s="133"/>
      <c r="AF81" s="158"/>
      <c r="AG81" s="158"/>
      <c r="AH81" s="158"/>
      <c r="AI81" s="133"/>
      <c r="AJ81" s="133"/>
      <c r="AK81" s="133"/>
      <c r="AL81" s="151"/>
      <c r="AM81" s="133"/>
      <c r="AN81" s="133"/>
      <c r="AO81" s="149"/>
      <c r="AP81" s="133"/>
      <c r="AQ81" s="133"/>
      <c r="AR81" s="133"/>
      <c r="AS81" s="133"/>
      <c r="AT81" s="133"/>
      <c r="AU81" s="133"/>
      <c r="AV81" s="133"/>
      <c r="AW81" s="145"/>
      <c r="AX81" s="133"/>
      <c r="AY81" s="133"/>
      <c r="AZ81" s="133"/>
      <c r="BA81" s="145"/>
      <c r="BB81" s="145"/>
      <c r="BC81" s="145"/>
      <c r="BD81" s="145"/>
      <c r="BE81" s="145"/>
      <c r="BF81" s="145"/>
      <c r="BG81" s="133"/>
      <c r="BH81" s="133"/>
      <c r="BI81" s="133"/>
      <c r="BJ81" s="133"/>
      <c r="BK81" s="133"/>
      <c r="BL81" s="133"/>
      <c r="BM81" s="145"/>
    </row>
    <row r="82" spans="1:65" s="197" customFormat="1" ht="21.75" customHeight="1" x14ac:dyDescent="0.25">
      <c r="A82" s="203" t="s">
        <v>114</v>
      </c>
      <c r="B82" s="199"/>
      <c r="C82" s="199"/>
      <c r="D82" s="199"/>
      <c r="E82" s="199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33"/>
      <c r="W82" s="155"/>
      <c r="X82" s="155"/>
      <c r="Y82" s="155"/>
      <c r="Z82" s="155"/>
      <c r="AA82" s="147"/>
      <c r="AB82" s="147"/>
      <c r="AC82" s="147"/>
      <c r="AD82" s="147"/>
      <c r="AE82" s="133"/>
      <c r="AF82" s="158"/>
      <c r="AG82" s="158"/>
      <c r="AH82" s="158"/>
      <c r="AI82" s="133"/>
      <c r="AJ82" s="133"/>
      <c r="AK82" s="133"/>
      <c r="AL82" s="151"/>
      <c r="AM82" s="133"/>
      <c r="AN82" s="133"/>
      <c r="AO82" s="149"/>
      <c r="AP82" s="133"/>
      <c r="AQ82" s="133"/>
      <c r="AR82" s="133"/>
      <c r="AS82" s="133"/>
      <c r="AT82" s="133"/>
      <c r="AU82" s="133"/>
      <c r="AV82" s="133"/>
      <c r="AW82" s="145"/>
      <c r="AX82" s="133"/>
      <c r="AY82" s="133"/>
      <c r="AZ82" s="133"/>
      <c r="BA82" s="145"/>
      <c r="BB82" s="145"/>
      <c r="BC82" s="145"/>
      <c r="BD82" s="145"/>
      <c r="BE82" s="145"/>
      <c r="BF82" s="145"/>
      <c r="BG82" s="133"/>
      <c r="BH82" s="133"/>
      <c r="BI82" s="133"/>
      <c r="BJ82" s="133"/>
      <c r="BK82" s="133"/>
      <c r="BL82" s="133"/>
      <c r="BM82" s="145"/>
    </row>
    <row r="83" spans="1:65" s="197" customFormat="1" ht="21.75" customHeight="1" x14ac:dyDescent="0.25">
      <c r="A83" s="203" t="s">
        <v>115</v>
      </c>
      <c r="B83" s="199"/>
      <c r="C83" s="199"/>
      <c r="D83" s="199"/>
      <c r="E83" s="199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33"/>
      <c r="W83" s="133"/>
      <c r="X83" s="133"/>
      <c r="Y83" s="133"/>
      <c r="Z83" s="133"/>
      <c r="AA83" s="147"/>
      <c r="AB83" s="147"/>
      <c r="AC83" s="147"/>
      <c r="AD83" s="147"/>
      <c r="AE83" s="133"/>
      <c r="AF83" s="158"/>
      <c r="AG83" s="133"/>
      <c r="AH83" s="133"/>
      <c r="AI83" s="133"/>
      <c r="AJ83" s="133"/>
      <c r="AK83" s="133"/>
      <c r="AL83" s="151"/>
      <c r="AM83" s="133"/>
      <c r="AN83" s="133"/>
      <c r="AO83" s="149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</row>
    <row r="84" spans="1:65" ht="18" customHeight="1" x14ac:dyDescent="0.25">
      <c r="A84" s="202" t="s">
        <v>116</v>
      </c>
      <c r="B84" s="200"/>
      <c r="C84" s="153"/>
      <c r="D84" s="153"/>
      <c r="E84" s="153"/>
    </row>
    <row r="85" spans="1:65" ht="18" customHeight="1" x14ac:dyDescent="0.25">
      <c r="A85" s="202" t="s">
        <v>117</v>
      </c>
      <c r="B85" s="200"/>
      <c r="C85" s="153"/>
      <c r="D85" s="153"/>
      <c r="E85" s="153"/>
    </row>
    <row r="86" spans="1:65" ht="18" customHeight="1" x14ac:dyDescent="0.25">
      <c r="A86" s="201" t="s">
        <v>111</v>
      </c>
      <c r="B86" s="200"/>
      <c r="C86" s="153"/>
      <c r="D86" s="153"/>
      <c r="E86" s="153"/>
    </row>
    <row r="87" spans="1:65" ht="18" customHeight="1" x14ac:dyDescent="0.25">
      <c r="A87" s="202" t="s">
        <v>112</v>
      </c>
      <c r="B87" s="200"/>
      <c r="C87" s="153"/>
      <c r="D87" s="153"/>
      <c r="E87" s="153"/>
    </row>
    <row r="88" spans="1:65" ht="18" customHeight="1" x14ac:dyDescent="0.25">
      <c r="A88" s="201" t="s">
        <v>118</v>
      </c>
    </row>
    <row r="89" spans="1:65" ht="18" customHeight="1" x14ac:dyDescent="0.25">
      <c r="A89" s="202" t="s">
        <v>119</v>
      </c>
      <c r="AH89" s="147"/>
    </row>
    <row r="90" spans="1:65" s="133" customFormat="1" ht="18" customHeight="1" x14ac:dyDescent="0.25">
      <c r="A90" s="202" t="s">
        <v>120</v>
      </c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AA90" s="147"/>
      <c r="AB90" s="147"/>
      <c r="AC90" s="147"/>
      <c r="AD90" s="147"/>
      <c r="AF90" s="147"/>
      <c r="AL90" s="151"/>
      <c r="AO90" s="149"/>
    </row>
    <row r="91" spans="1:65" ht="18" customHeight="1" x14ac:dyDescent="0.25">
      <c r="A91" s="202" t="s">
        <v>121</v>
      </c>
    </row>
    <row r="92" spans="1:65" ht="18" customHeight="1" x14ac:dyDescent="0.25">
      <c r="A92" s="202" t="s">
        <v>122</v>
      </c>
    </row>
    <row r="103" spans="1:41" ht="18" customHeight="1" x14ac:dyDescent="0.25">
      <c r="AG103" s="147"/>
    </row>
    <row r="104" spans="1:41" s="133" customFormat="1" ht="18" customHeight="1" x14ac:dyDescent="0.25">
      <c r="A104" s="4"/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AE104" s="147"/>
      <c r="AL104" s="151"/>
      <c r="AO104" s="149"/>
    </row>
  </sheetData>
  <sheetProtection algorithmName="SHA-512" hashValue="hxV0DjBIT9Y2csXAxWN5qle91iK7Qv09lKyzdTZxU9U+MryL84KbAr/lhG1tX8jmOA61Uyol+uO1AWh8TI6AnQ==" saltValue="QHM65by1kpzutaK+zXbSxQ==" spinCount="100000" sheet="1" objects="1" scenarios="1" selectLockedCells="1" selectUnlockedCells="1"/>
  <mergeCells count="12">
    <mergeCell ref="A79:E79"/>
    <mergeCell ref="W4:Z4"/>
    <mergeCell ref="AA4:AH4"/>
    <mergeCell ref="AO4:AS4"/>
    <mergeCell ref="BM4:BM5"/>
    <mergeCell ref="S4:V4"/>
    <mergeCell ref="AI4:AN4"/>
    <mergeCell ref="A2:R2"/>
    <mergeCell ref="C3:E4"/>
    <mergeCell ref="F3:R3"/>
    <mergeCell ref="F4:K4"/>
    <mergeCell ref="M4:R4"/>
  </mergeCells>
  <printOptions gridLines="1"/>
  <pageMargins left="0.25" right="0" top="0.5" bottom="0.5" header="0.3" footer="0.3"/>
  <pageSetup paperSize="5" scale="80" fitToWidth="4" fitToHeight="4" pageOrder="overThenDown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Order 30 Components</vt:lpstr>
      <vt:lpstr>Pool Percentages</vt:lpstr>
      <vt:lpstr>CY &amp; Whey Protein</vt:lpstr>
      <vt:lpstr>US Whey Production</vt:lpstr>
      <vt:lpstr>CDFA Powders</vt:lpstr>
      <vt:lpstr>US Milk Powders Production</vt:lpstr>
      <vt:lpstr>SMP Yield</vt:lpstr>
      <vt:lpstr>Fortification</vt:lpstr>
      <vt:lpstr>PPD Estimations 09-14</vt:lpstr>
      <vt:lpstr>TCs &amp; Allowances</vt:lpstr>
      <vt:lpstr>Class I North &amp; South</vt:lpstr>
      <vt:lpstr>US &amp; CA Exports</vt:lpstr>
      <vt:lpstr>Pool Lbs &amp; Component Lbs</vt:lpstr>
      <vt:lpstr>Fortification!Print_Titles</vt:lpstr>
      <vt:lpstr>'Pool Percentages'!Print_Titles</vt:lpstr>
      <vt:lpstr>'PPD Estimations 09-14'!Print_Titles</vt:lpstr>
      <vt:lpstr>'TCs &amp; Allowances'!Print_Titles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dshippelhoute</dc:creator>
  <cp:lastModifiedBy>Cherie Bayer</cp:lastModifiedBy>
  <cp:lastPrinted>2015-10-15T15:11:16Z</cp:lastPrinted>
  <dcterms:created xsi:type="dcterms:W3CDTF">2015-04-21T22:28:30Z</dcterms:created>
  <dcterms:modified xsi:type="dcterms:W3CDTF">2015-12-02T16:59:41Z</dcterms:modified>
</cp:coreProperties>
</file>