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leary\Desktop\"/>
    </mc:Choice>
  </mc:AlternateContent>
  <xr:revisionPtr revIDLastSave="0" documentId="13_ncr:1_{BC8E92CF-FC19-4F0E-9C53-D336477ED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APCO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I14" i="1"/>
  <c r="I15" i="1"/>
  <c r="I17" i="1"/>
  <c r="I18" i="1"/>
  <c r="I16" i="1"/>
  <c r="I13" i="1" l="1"/>
  <c r="D16" i="1"/>
  <c r="D15" i="1"/>
  <c r="I19" i="1"/>
  <c r="I37" i="1"/>
  <c r="I38" i="1" s="1"/>
  <c r="D30" i="1"/>
  <c r="D31" i="1"/>
  <c r="D32" i="1"/>
  <c r="D43" i="1"/>
  <c r="D62" i="1"/>
  <c r="D61" i="1"/>
  <c r="D60" i="1"/>
  <c r="D59" i="1"/>
  <c r="F59" i="1"/>
  <c r="I59" i="1" s="1"/>
  <c r="F60" i="1"/>
  <c r="I60" i="1" s="1"/>
  <c r="F29" i="1"/>
  <c r="I34" i="1"/>
  <c r="F47" i="1"/>
  <c r="I40" i="1" l="1"/>
  <c r="D63" i="1"/>
  <c r="D23" i="1"/>
  <c r="D24" i="1" s="1"/>
  <c r="D26" i="1" s="1"/>
  <c r="I63" i="1"/>
  <c r="D34" i="1"/>
  <c r="I23" i="1"/>
  <c r="I24" i="1" s="1"/>
  <c r="I27" i="1" s="1"/>
  <c r="F64" i="1" l="1"/>
  <c r="I47" i="1"/>
  <c r="D54" i="1"/>
  <c r="D53" i="1" s="1"/>
  <c r="I54" i="1"/>
  <c r="I52" i="1" s="1"/>
  <c r="D47" i="1"/>
  <c r="C50" i="1" s="1"/>
  <c r="I48" i="1" l="1"/>
  <c r="C56" i="1"/>
  <c r="G56" i="1"/>
  <c r="D48" i="1"/>
  <c r="G50" i="1"/>
</calcChain>
</file>

<file path=xl/sharedStrings.xml><?xml version="1.0" encoding="utf-8"?>
<sst xmlns="http://schemas.openxmlformats.org/spreadsheetml/2006/main" count="95" uniqueCount="78">
  <si>
    <t>Memorandum</t>
  </si>
  <si>
    <t>DATE:</t>
  </si>
  <si>
    <t>TO:</t>
  </si>
  <si>
    <t>FROM:</t>
  </si>
  <si>
    <t xml:space="preserve">RE: </t>
  </si>
  <si>
    <t>Comparison of REAP vs. Conventional Programs</t>
  </si>
  <si>
    <t>TPE:</t>
  </si>
  <si>
    <t>REAP FEES:</t>
  </si>
  <si>
    <t xml:space="preserve">  Herd Fee</t>
  </si>
  <si>
    <t xml:space="preserve">  101-300 Cows</t>
  </si>
  <si>
    <t xml:space="preserve">  301+ Cows</t>
  </si>
  <si>
    <t xml:space="preserve">  301-500 Cows</t>
  </si>
  <si>
    <t xml:space="preserve">  501-1000 Cows</t>
  </si>
  <si>
    <t xml:space="preserve">  Total TPE Fees</t>
  </si>
  <si>
    <t xml:space="preserve">  Total REAP Fees</t>
  </si>
  <si>
    <t xml:space="preserve">  Early Pay Option</t>
  </si>
  <si>
    <t>-10%</t>
  </si>
  <si>
    <t>-5%</t>
  </si>
  <si>
    <t xml:space="preserve">TOTAL REAP DUE WITHIN 30 </t>
  </si>
  <si>
    <t xml:space="preserve">    DAYS OF ENROLLMENT:</t>
  </si>
  <si>
    <t xml:space="preserve">  1-50 Calves @ $14</t>
  </si>
  <si>
    <t xml:space="preserve">  1-50 Calves</t>
  </si>
  <si>
    <t>Incl. Above</t>
  </si>
  <si>
    <t xml:space="preserve">  51-200 Calves @ $12</t>
  </si>
  <si>
    <t xml:space="preserve">  51-200 Calves</t>
  </si>
  <si>
    <t xml:space="preserve">  201-400 Calves</t>
  </si>
  <si>
    <t>Total Registration Fees:</t>
  </si>
  <si>
    <t xml:space="preserve">  Current Equity Investment:</t>
  </si>
  <si>
    <t>JERSEY JOURNAL SUBSCRIPTION:</t>
  </si>
  <si>
    <t>JERSEY MATE:</t>
  </si>
  <si>
    <t>Included</t>
  </si>
  <si>
    <t xml:space="preserve">  $2.00 per head</t>
  </si>
  <si>
    <t>TOTAL REAP COSTS:</t>
  </si>
  <si>
    <t xml:space="preserve">    Paid within 30 Days</t>
  </si>
  <si>
    <t xml:space="preserve">      Savings From Early Payment:</t>
  </si>
  <si>
    <t xml:space="preserve">    Average Monthly Cost, if </t>
  </si>
  <si>
    <t xml:space="preserve">    Payable per Month</t>
  </si>
  <si>
    <t xml:space="preserve">        TPE Paid in installments</t>
  </si>
  <si>
    <t xml:space="preserve">    Yearly Total w/ mo. pay</t>
  </si>
  <si>
    <t xml:space="preserve">    Yearly Total, if Paid Monthly:</t>
  </si>
  <si>
    <t>Heifers needing to be registered</t>
  </si>
  <si>
    <t>Less than 6 months @ $14</t>
  </si>
  <si>
    <t>Less than 6 months @ $0</t>
  </si>
  <si>
    <t>6 to 12 months @ $19</t>
  </si>
  <si>
    <t>Over 6 months @ $15</t>
  </si>
  <si>
    <t>12 to 24 months @ $24</t>
  </si>
  <si>
    <t>Over 24 months @ $32</t>
  </si>
  <si>
    <t>Total reg. fees not on REAP</t>
  </si>
  <si>
    <t>Total reg. fees on REAP</t>
  </si>
  <si>
    <t>Registration savings of REAP</t>
  </si>
  <si>
    <t xml:space="preserve">  201-400 Calves @ $7</t>
  </si>
  <si>
    <t>(Based on Current Month's Dairy Records Processing Center Report)</t>
  </si>
  <si>
    <t>Enter Number of Cows Here:</t>
  </si>
  <si>
    <t>Total TPE, Registration and  Equity</t>
  </si>
  <si>
    <t>TOTAL TPE DUE BY JANUARY 31:</t>
  </si>
  <si>
    <t>TPE + REGISTRATION + EQUITY:</t>
  </si>
  <si>
    <t>REGISTRATION:</t>
  </si>
  <si>
    <t xml:space="preserve">EQUITY:  </t>
  </si>
  <si>
    <t xml:space="preserve">EQUITY: </t>
  </si>
  <si>
    <t>@ $4.75</t>
  </si>
  <si>
    <t xml:space="preserve"> 1001-3000 Cows</t>
  </si>
  <si>
    <t xml:space="preserve"> 3001+ Cows</t>
  </si>
  <si>
    <t>@ $165.00</t>
  </si>
  <si>
    <t>1-50 Cows</t>
  </si>
  <si>
    <t>@ $14.50</t>
  </si>
  <si>
    <t>51-100 Cows</t>
  </si>
  <si>
    <t>@ $14.00</t>
  </si>
  <si>
    <t>@ $11.00</t>
  </si>
  <si>
    <t>@ $8.75</t>
  </si>
  <si>
    <t>@ $6.50</t>
  </si>
  <si>
    <t>@ $5.50</t>
  </si>
  <si>
    <t>Paid Annually @ $3.80/Cow</t>
  </si>
  <si>
    <r>
      <t>REAP:</t>
    </r>
    <r>
      <rPr>
        <sz val="10"/>
        <rFont val="Arial"/>
        <family val="2"/>
      </rPr>
      <t xml:space="preserve">  Fees effective January 1, 2023</t>
    </r>
  </si>
  <si>
    <t>@ $9.75</t>
  </si>
  <si>
    <t xml:space="preserve">  1-50 Cows</t>
  </si>
  <si>
    <t>@ $9.25</t>
  </si>
  <si>
    <t>@ $7.25</t>
  </si>
  <si>
    <t>@ $5.25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</si>
</sst>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&quot;$&quot;#,##0.00\ ;\(&quot;$&quot;#,##0.00\)"/>
    <numFmt numFmtId="166" formatCode="&quot;$&quot;#,##0.00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1" applyNumberFormat="0" applyFont="0" applyFill="0" applyAlignment="0" applyProtection="0"/>
  </cellStyleXfs>
  <cellXfs count="30">
    <xf numFmtId="0" fontId="0" fillId="0" borderId="0" xfId="0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165" fontId="4" fillId="0" borderId="0" xfId="0" applyNumberFormat="1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4" fontId="3" fillId="0" borderId="0" xfId="0" applyNumberFormat="1" applyFont="1" applyAlignment="1">
      <alignment horizontal="left"/>
    </xf>
    <xf numFmtId="0" fontId="0" fillId="0" borderId="2" xfId="0" applyBorder="1"/>
    <xf numFmtId="0" fontId="7" fillId="0" borderId="0" xfId="0" applyFont="1" applyAlignment="1">
      <alignment horizontal="centerContinuous"/>
    </xf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165" fontId="0" fillId="0" borderId="0" xfId="2" applyFont="1"/>
    <xf numFmtId="166" fontId="0" fillId="0" borderId="0" xfId="0" applyNumberFormat="1"/>
    <xf numFmtId="0" fontId="10" fillId="0" borderId="0" xfId="0" applyFont="1"/>
    <xf numFmtId="0" fontId="12" fillId="0" borderId="0" xfId="0" applyFont="1"/>
    <xf numFmtId="0" fontId="10" fillId="2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/>
    <xf numFmtId="165" fontId="13" fillId="0" borderId="0" xfId="0" applyNumberFormat="1" applyFont="1"/>
    <xf numFmtId="0" fontId="11" fillId="0" borderId="0" xfId="0" applyFont="1"/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11" fillId="2" borderId="0" xfId="0" applyFont="1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right"/>
    </xf>
    <xf numFmtId="0" fontId="3" fillId="0" borderId="0" xfId="0" applyFont="1"/>
  </cellXfs>
  <cellStyles count="9">
    <cellStyle name="Comma0" xfId="1" xr:uid="{00000000-0005-0000-0000-000000000000}"/>
    <cellStyle name="Currency" xfId="2" builtinId="4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tabSelected="1" workbookViewId="0">
      <selection activeCell="N42" sqref="N42"/>
    </sheetView>
  </sheetViews>
  <sheetFormatPr defaultColWidth="10.28515625" defaultRowHeight="12.75" x14ac:dyDescent="0.2"/>
  <cols>
    <col min="1" max="1" width="16.140625" customWidth="1"/>
    <col min="2" max="2" width="11.7109375" customWidth="1"/>
    <col min="3" max="3" width="19.28515625" customWidth="1"/>
    <col min="4" max="4" width="13.5703125" customWidth="1"/>
    <col min="5" max="5" width="3.5703125" customWidth="1"/>
    <col min="6" max="6" width="15" customWidth="1"/>
    <col min="7" max="9" width="11.7109375" customWidth="1"/>
  </cols>
  <sheetData>
    <row r="1" spans="1:9" ht="18" x14ac:dyDescent="0.25">
      <c r="A1" s="6" t="s">
        <v>0</v>
      </c>
      <c r="B1" s="6"/>
      <c r="C1" s="7"/>
      <c r="D1" s="7"/>
      <c r="E1" s="7"/>
      <c r="F1" s="7"/>
      <c r="G1" s="7"/>
      <c r="H1" s="7"/>
      <c r="I1" s="7"/>
    </row>
    <row r="2" spans="1:9" x14ac:dyDescent="0.2">
      <c r="A2" s="2" t="s">
        <v>1</v>
      </c>
      <c r="B2" s="8"/>
      <c r="C2" s="5"/>
    </row>
    <row r="3" spans="1:9" x14ac:dyDescent="0.2">
      <c r="A3" s="2" t="s">
        <v>2</v>
      </c>
      <c r="B3" s="2"/>
    </row>
    <row r="4" spans="1:9" x14ac:dyDescent="0.2">
      <c r="A4" s="2" t="s">
        <v>3</v>
      </c>
      <c r="B4" s="2"/>
    </row>
    <row r="5" spans="1:9" x14ac:dyDescent="0.2">
      <c r="A5" s="2" t="s">
        <v>4</v>
      </c>
      <c r="B5" s="29" t="s">
        <v>5</v>
      </c>
      <c r="C5" s="29"/>
      <c r="D5" s="29"/>
      <c r="I5" s="2"/>
    </row>
    <row r="6" spans="1:9" x14ac:dyDescent="0.2">
      <c r="B6" s="16" t="s">
        <v>52</v>
      </c>
      <c r="D6" s="18">
        <v>0</v>
      </c>
      <c r="E6" s="13" t="s">
        <v>51</v>
      </c>
    </row>
    <row r="7" spans="1:9" ht="13.5" thickBot="1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13.5" thickTop="1" x14ac:dyDescent="0.2"/>
    <row r="9" spans="1:9" x14ac:dyDescent="0.2">
      <c r="A9" s="19" t="s">
        <v>55</v>
      </c>
      <c r="B9" s="2"/>
      <c r="C9" s="2"/>
      <c r="D9" s="2"/>
      <c r="E9" s="2"/>
      <c r="F9" s="19" t="s">
        <v>72</v>
      </c>
    </row>
    <row r="11" spans="1:9" x14ac:dyDescent="0.2">
      <c r="A11" s="2" t="s">
        <v>6</v>
      </c>
      <c r="F11" s="2" t="s">
        <v>7</v>
      </c>
    </row>
    <row r="12" spans="1:9" x14ac:dyDescent="0.2">
      <c r="A12" s="26" t="s">
        <v>8</v>
      </c>
      <c r="C12" s="23" t="s">
        <v>62</v>
      </c>
      <c r="D12" s="1">
        <v>165</v>
      </c>
      <c r="F12" t="s">
        <v>8</v>
      </c>
      <c r="H12" s="23" t="s">
        <v>62</v>
      </c>
      <c r="I12" s="1">
        <v>165</v>
      </c>
    </row>
    <row r="13" spans="1:9" ht="14.25" customHeight="1" x14ac:dyDescent="0.2">
      <c r="A13" s="26" t="s">
        <v>74</v>
      </c>
      <c r="C13" s="23" t="s">
        <v>73</v>
      </c>
      <c r="D13" s="1">
        <f>IF($D$6&gt;50,487.5,$D$6*9.75)</f>
        <v>0</v>
      </c>
      <c r="F13" s="26" t="s">
        <v>63</v>
      </c>
      <c r="H13" s="23" t="s">
        <v>64</v>
      </c>
      <c r="I13" s="1">
        <f>IF($D$6&gt;50,725,$D$6*14.5)</f>
        <v>0</v>
      </c>
    </row>
    <row r="14" spans="1:9" ht="14.25" customHeight="1" x14ac:dyDescent="0.2">
      <c r="A14" s="26" t="s">
        <v>65</v>
      </c>
      <c r="C14" s="23" t="s">
        <v>75</v>
      </c>
      <c r="D14" s="1">
        <f>IF($D$6&gt;100,462.5,IF($D$6&gt;50,($D$6-50)*9.25,0))</f>
        <v>0</v>
      </c>
      <c r="F14" s="26" t="s">
        <v>65</v>
      </c>
      <c r="H14" s="23" t="s">
        <v>66</v>
      </c>
      <c r="I14" s="1">
        <f>IF($D$6&gt;100,700,IF($D$6&gt;50,($D$6-50)*14,0))</f>
        <v>0</v>
      </c>
    </row>
    <row r="15" spans="1:9" x14ac:dyDescent="0.2">
      <c r="A15" s="26" t="s">
        <v>9</v>
      </c>
      <c r="C15" s="23" t="s">
        <v>76</v>
      </c>
      <c r="D15" s="1">
        <f>IF($D$6&gt;300,1450,IF($D$6&gt;100,($D$6-100)*7.25,0))</f>
        <v>0</v>
      </c>
      <c r="F15" s="26" t="s">
        <v>9</v>
      </c>
      <c r="H15" s="23" t="s">
        <v>67</v>
      </c>
      <c r="I15" s="1">
        <f>IF($D$6&gt;300,2200,IF($D$6&gt;100,($D$6-100)*11,0))</f>
        <v>0</v>
      </c>
    </row>
    <row r="16" spans="1:9" x14ac:dyDescent="0.2">
      <c r="A16" s="26" t="s">
        <v>10</v>
      </c>
      <c r="C16" s="23" t="s">
        <v>77</v>
      </c>
      <c r="D16" s="1">
        <f>IF($D$6&gt;300,($D$6-300)*5.25,0)</f>
        <v>0</v>
      </c>
      <c r="F16" s="26" t="s">
        <v>11</v>
      </c>
      <c r="H16" s="23" t="s">
        <v>68</v>
      </c>
      <c r="I16" s="1">
        <f>IF($D$6&gt;500,1750,IF($D$6&gt;300,($D$6-300)*8.75,0))</f>
        <v>0</v>
      </c>
    </row>
    <row r="17" spans="1:9" x14ac:dyDescent="0.2">
      <c r="F17" s="26" t="s">
        <v>12</v>
      </c>
      <c r="H17" s="23" t="s">
        <v>69</v>
      </c>
      <c r="I17" s="1">
        <f>IF($D$6&gt;=1000,3250,IF($D$6&gt;500,($D$6-500)*6.5,0))</f>
        <v>0</v>
      </c>
    </row>
    <row r="18" spans="1:9" x14ac:dyDescent="0.2">
      <c r="F18" s="27" t="s">
        <v>60</v>
      </c>
      <c r="H18" s="23" t="s">
        <v>70</v>
      </c>
      <c r="I18" s="1">
        <f>IF($D$6&gt;3000,11000,IF($D$6&gt;1000,($D$6-1000)*5.5,0))</f>
        <v>0</v>
      </c>
    </row>
    <row r="19" spans="1:9" x14ac:dyDescent="0.2">
      <c r="F19" s="28" t="s">
        <v>61</v>
      </c>
      <c r="H19" s="23" t="s">
        <v>59</v>
      </c>
      <c r="I19" s="1">
        <f>IF($D$6&gt;3000,($D$6-3000)*4.75,0)</f>
        <v>0</v>
      </c>
    </row>
    <row r="21" spans="1:9" x14ac:dyDescent="0.2">
      <c r="F21" s="24"/>
      <c r="H21" s="23"/>
      <c r="I21" s="1"/>
    </row>
    <row r="22" spans="1:9" x14ac:dyDescent="0.2">
      <c r="F22" s="24"/>
      <c r="H22" s="23"/>
      <c r="I22" s="1"/>
    </row>
    <row r="23" spans="1:9" x14ac:dyDescent="0.2">
      <c r="A23" t="s">
        <v>13</v>
      </c>
      <c r="D23" s="1">
        <f>SUM(D12:D16)</f>
        <v>165</v>
      </c>
      <c r="F23" t="s">
        <v>14</v>
      </c>
      <c r="I23" s="1">
        <f>SUM(I12:I19)</f>
        <v>165</v>
      </c>
    </row>
    <row r="24" spans="1:9" x14ac:dyDescent="0.2">
      <c r="A24" t="s">
        <v>15</v>
      </c>
      <c r="C24" t="s">
        <v>16</v>
      </c>
      <c r="D24" s="4">
        <f>D23*-0.1</f>
        <v>-16.5</v>
      </c>
      <c r="F24" t="s">
        <v>15</v>
      </c>
      <c r="H24" t="s">
        <v>17</v>
      </c>
      <c r="I24" s="4">
        <f>I23*-0.05</f>
        <v>-8.25</v>
      </c>
    </row>
    <row r="26" spans="1:9" x14ac:dyDescent="0.2">
      <c r="A26" s="20" t="s">
        <v>54</v>
      </c>
      <c r="D26" s="1">
        <f>D23+D24</f>
        <v>148.5</v>
      </c>
      <c r="F26" t="s">
        <v>18</v>
      </c>
    </row>
    <row r="27" spans="1:9" x14ac:dyDescent="0.2">
      <c r="F27" t="s">
        <v>19</v>
      </c>
      <c r="I27" s="1">
        <f>I23+I24</f>
        <v>156.75</v>
      </c>
    </row>
    <row r="29" spans="1:9" x14ac:dyDescent="0.2">
      <c r="A29" s="19" t="s">
        <v>56</v>
      </c>
      <c r="F29" s="2" t="str">
        <f>A29</f>
        <v>REGISTRATION:</v>
      </c>
    </row>
    <row r="30" spans="1:9" x14ac:dyDescent="0.2">
      <c r="A30" t="s">
        <v>20</v>
      </c>
      <c r="D30" s="1">
        <f>IF(+D6*0.45&gt;50,600,+D6*0.45*14)</f>
        <v>0</v>
      </c>
      <c r="F30" t="s">
        <v>21</v>
      </c>
      <c r="I30" s="1" t="s">
        <v>22</v>
      </c>
    </row>
    <row r="31" spans="1:9" x14ac:dyDescent="0.2">
      <c r="A31" t="s">
        <v>23</v>
      </c>
      <c r="D31" s="1">
        <f>IF(+D6*0.45&gt;200,1500,IF(D6*0.45&lt;50,0,(+D6*0.45-50)*12))</f>
        <v>0</v>
      </c>
      <c r="F31" t="s">
        <v>24</v>
      </c>
      <c r="I31" s="1" t="s">
        <v>22</v>
      </c>
    </row>
    <row r="32" spans="1:9" x14ac:dyDescent="0.2">
      <c r="A32" s="22" t="s">
        <v>50</v>
      </c>
      <c r="D32" s="1">
        <f>IF(D6*0.45&gt;200,(D6*0.45-200)*7,0)</f>
        <v>0</v>
      </c>
      <c r="F32" t="s">
        <v>25</v>
      </c>
      <c r="I32" s="1" t="s">
        <v>22</v>
      </c>
    </row>
    <row r="33" spans="1:9" x14ac:dyDescent="0.2">
      <c r="D33" s="1"/>
      <c r="I33" s="1"/>
    </row>
    <row r="34" spans="1:9" x14ac:dyDescent="0.2">
      <c r="A34" t="s">
        <v>26</v>
      </c>
      <c r="D34" s="1">
        <f>SUM(D30:D32)</f>
        <v>0</v>
      </c>
      <c r="F34" t="s">
        <v>26</v>
      </c>
      <c r="I34" s="1">
        <f>SUM(I30:I31)</f>
        <v>0</v>
      </c>
    </row>
    <row r="36" spans="1:9" x14ac:dyDescent="0.2">
      <c r="A36" s="19" t="s">
        <v>57</v>
      </c>
      <c r="F36" s="19" t="s">
        <v>58</v>
      </c>
    </row>
    <row r="37" spans="1:9" x14ac:dyDescent="0.2">
      <c r="A37" t="s">
        <v>27</v>
      </c>
      <c r="C37" s="2"/>
      <c r="D37" s="1">
        <v>0</v>
      </c>
      <c r="F37" t="s">
        <v>71</v>
      </c>
      <c r="I37" s="1">
        <f>D6*3.8</f>
        <v>0</v>
      </c>
    </row>
    <row r="38" spans="1:9" x14ac:dyDescent="0.2">
      <c r="A38" s="10"/>
      <c r="B38" s="5"/>
      <c r="C38" s="5"/>
      <c r="D38" s="5"/>
      <c r="F38" t="s">
        <v>15</v>
      </c>
      <c r="H38" t="s">
        <v>17</v>
      </c>
      <c r="I38" s="4">
        <f>I37*-0.05</f>
        <v>0</v>
      </c>
    </row>
    <row r="39" spans="1:9" x14ac:dyDescent="0.2">
      <c r="A39" s="2" t="s">
        <v>28</v>
      </c>
      <c r="D39" s="14">
        <v>30</v>
      </c>
      <c r="F39" t="s">
        <v>18</v>
      </c>
    </row>
    <row r="40" spans="1:9" x14ac:dyDescent="0.2">
      <c r="F40" t="s">
        <v>19</v>
      </c>
      <c r="I40" s="1">
        <f>I38+I37</f>
        <v>0</v>
      </c>
    </row>
    <row r="41" spans="1:9" x14ac:dyDescent="0.2">
      <c r="I41" s="1"/>
    </row>
    <row r="42" spans="1:9" x14ac:dyDescent="0.2">
      <c r="F42" s="2" t="s">
        <v>28</v>
      </c>
      <c r="I42" s="21" t="s">
        <v>30</v>
      </c>
    </row>
    <row r="43" spans="1:9" x14ac:dyDescent="0.2">
      <c r="A43" s="2" t="s">
        <v>29</v>
      </c>
      <c r="D43" s="15">
        <f>D6*2</f>
        <v>0</v>
      </c>
      <c r="F43" s="2" t="s">
        <v>29</v>
      </c>
      <c r="I43" t="s">
        <v>30</v>
      </c>
    </row>
    <row r="44" spans="1:9" x14ac:dyDescent="0.2">
      <c r="A44" t="s">
        <v>31</v>
      </c>
    </row>
    <row r="46" spans="1:9" x14ac:dyDescent="0.2">
      <c r="A46" s="19" t="s">
        <v>53</v>
      </c>
      <c r="B46" s="2"/>
      <c r="C46" s="2"/>
      <c r="F46" s="2" t="s">
        <v>32</v>
      </c>
      <c r="G46" s="2"/>
      <c r="H46" s="2"/>
    </row>
    <row r="47" spans="1:9" x14ac:dyDescent="0.2">
      <c r="A47" s="2" t="s">
        <v>33</v>
      </c>
      <c r="D47" s="3">
        <f>SUM(D37,D34,D26,D39,D43)</f>
        <v>178.5</v>
      </c>
      <c r="F47" s="2" t="str">
        <f>A47</f>
        <v xml:space="preserve">    Paid within 30 Days</v>
      </c>
      <c r="I47" s="3">
        <f>I40+I27</f>
        <v>156.75</v>
      </c>
    </row>
    <row r="48" spans="1:9" x14ac:dyDescent="0.2">
      <c r="A48" s="2" t="s">
        <v>34</v>
      </c>
      <c r="D48" s="3">
        <f>D54-D47</f>
        <v>16.5</v>
      </c>
      <c r="F48" s="2" t="s">
        <v>34</v>
      </c>
      <c r="I48" s="3">
        <f>I54-I47</f>
        <v>8.25</v>
      </c>
    </row>
    <row r="49" spans="1:15" x14ac:dyDescent="0.2">
      <c r="A49" s="2"/>
      <c r="F49" s="2"/>
      <c r="I49" s="3"/>
    </row>
    <row r="50" spans="1:15" x14ac:dyDescent="0.2">
      <c r="A50" s="2"/>
      <c r="C50" s="2" t="str">
        <f>IF(I47-D47&gt;0,"Cost of REAP vs. Separate Programs:","REAP Savings vs. Separate Programs:")</f>
        <v>REAP Savings vs. Separate Programs:</v>
      </c>
      <c r="F50" s="2"/>
      <c r="G50" s="3">
        <f>ABS(I47-D47)</f>
        <v>21.75</v>
      </c>
      <c r="H50" s="2"/>
      <c r="I50" s="3"/>
    </row>
    <row r="51" spans="1:15" x14ac:dyDescent="0.2">
      <c r="A51" s="2"/>
      <c r="F51" s="2"/>
      <c r="I51" s="3"/>
    </row>
    <row r="52" spans="1:15" x14ac:dyDescent="0.2">
      <c r="A52" s="2" t="s">
        <v>35</v>
      </c>
      <c r="E52" s="2"/>
      <c r="F52" s="2" t="s">
        <v>36</v>
      </c>
      <c r="I52" s="3">
        <f>I54/12</f>
        <v>13.75</v>
      </c>
      <c r="M52" s="11"/>
      <c r="O52" s="12"/>
    </row>
    <row r="53" spans="1:15" x14ac:dyDescent="0.2">
      <c r="A53" s="2" t="s">
        <v>37</v>
      </c>
      <c r="D53" s="3">
        <f>D54/12</f>
        <v>16.25</v>
      </c>
      <c r="F53" s="2"/>
      <c r="I53" s="3"/>
    </row>
    <row r="54" spans="1:15" x14ac:dyDescent="0.2">
      <c r="A54" s="2" t="s">
        <v>38</v>
      </c>
      <c r="B54" s="2"/>
      <c r="D54" s="3">
        <f>(+D37+D34+D23+D39+D43)</f>
        <v>195</v>
      </c>
      <c r="F54" s="2" t="s">
        <v>39</v>
      </c>
      <c r="I54" s="3">
        <f>I37+I23</f>
        <v>165</v>
      </c>
    </row>
    <row r="56" spans="1:15" x14ac:dyDescent="0.2">
      <c r="C56" s="2" t="str">
        <f>IF(I54-D54&gt;0,"Cost of REAP vs. Separate Programs:","REAP Savings vs. Separate Programs:")</f>
        <v>REAP Savings vs. Separate Programs:</v>
      </c>
      <c r="F56" s="2"/>
      <c r="G56" s="3">
        <f>ABS(I54-D54)</f>
        <v>30</v>
      </c>
    </row>
    <row r="57" spans="1:15" ht="13.5" thickBot="1" x14ac:dyDescent="0.25">
      <c r="A57" s="9"/>
      <c r="B57" s="9"/>
      <c r="C57" s="9"/>
      <c r="D57" s="9"/>
      <c r="E57" s="9"/>
      <c r="F57" s="9"/>
      <c r="G57" s="9"/>
      <c r="H57" s="9"/>
      <c r="I57" s="9"/>
    </row>
    <row r="58" spans="1:15" ht="13.5" thickTop="1" x14ac:dyDescent="0.2">
      <c r="A58" s="2" t="s">
        <v>40</v>
      </c>
      <c r="F58" s="2" t="s">
        <v>40</v>
      </c>
    </row>
    <row r="59" spans="1:15" x14ac:dyDescent="0.2">
      <c r="A59" s="25"/>
      <c r="B59" t="s">
        <v>41</v>
      </c>
      <c r="D59" s="14">
        <f>(A59*14)</f>
        <v>0</v>
      </c>
      <c r="F59">
        <f>A59</f>
        <v>0</v>
      </c>
      <c r="G59" t="s">
        <v>42</v>
      </c>
      <c r="I59" s="14">
        <f>F59*0</f>
        <v>0</v>
      </c>
    </row>
    <row r="60" spans="1:15" x14ac:dyDescent="0.2">
      <c r="A60" s="25"/>
      <c r="B60" t="s">
        <v>43</v>
      </c>
      <c r="D60" s="14">
        <f>A60*19</f>
        <v>0</v>
      </c>
      <c r="F60">
        <f>(A60+A61+A62)</f>
        <v>0</v>
      </c>
      <c r="G60" t="s">
        <v>44</v>
      </c>
      <c r="I60" s="14">
        <f>F60*15</f>
        <v>0</v>
      </c>
    </row>
    <row r="61" spans="1:15" x14ac:dyDescent="0.2">
      <c r="A61" s="25"/>
      <c r="B61" t="s">
        <v>45</v>
      </c>
      <c r="D61" s="14">
        <f>A61*24</f>
        <v>0</v>
      </c>
    </row>
    <row r="62" spans="1:15" x14ac:dyDescent="0.2">
      <c r="A62" s="25"/>
      <c r="B62" t="s">
        <v>46</v>
      </c>
      <c r="D62" s="14">
        <f>A62*32</f>
        <v>0</v>
      </c>
    </row>
    <row r="63" spans="1:15" x14ac:dyDescent="0.2">
      <c r="A63" t="s">
        <v>47</v>
      </c>
      <c r="D63" s="14">
        <f>SUM(D59:D62)</f>
        <v>0</v>
      </c>
      <c r="G63" t="s">
        <v>48</v>
      </c>
      <c r="I63" s="1">
        <f>I59+I60</f>
        <v>0</v>
      </c>
    </row>
    <row r="64" spans="1:15" x14ac:dyDescent="0.2">
      <c r="C64" s="2" t="s">
        <v>49</v>
      </c>
      <c r="F64" s="3">
        <f>D63-I63</f>
        <v>0</v>
      </c>
    </row>
    <row r="68" spans="6:6" x14ac:dyDescent="0.2">
      <c r="F68" s="17"/>
    </row>
  </sheetData>
  <mergeCells count="1">
    <mergeCell ref="B5:D5"/>
  </mergeCells>
  <phoneticPr fontId="8" type="noConversion"/>
  <printOptions gridLines="1"/>
  <pageMargins left="0.25" right="0.25" top="0.5" bottom="0.5" header="0.5" footer="0.5"/>
  <pageSetup scale="93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REAPCOMP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REAP Comparison Worksheet 2008</dc:title>
  <dc:subject>REAP</dc:subject>
  <dc:creator>Cherie Bayer</dc:creator>
  <cp:lastModifiedBy>Philip Cleary</cp:lastModifiedBy>
  <cp:lastPrinted>2003-07-08T21:07:55Z</cp:lastPrinted>
  <dcterms:created xsi:type="dcterms:W3CDTF">2001-01-11T13:13:23Z</dcterms:created>
  <dcterms:modified xsi:type="dcterms:W3CDTF">2023-02-16T13:45:15Z</dcterms:modified>
</cp:coreProperties>
</file>